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yokokawa\Documents\"/>
    </mc:Choice>
  </mc:AlternateContent>
  <xr:revisionPtr revIDLastSave="0" documentId="8_{AEAAFEE4-3A36-4E8B-BA43-275140F3D19A}" xr6:coauthVersionLast="47" xr6:coauthVersionMax="47" xr10:uidLastSave="{00000000-0000-0000-0000-000000000000}"/>
  <bookViews>
    <workbookView xWindow="10716" yWindow="-13068" windowWidth="23256" windowHeight="12576" xr2:uid="{B61E398B-8518-47C6-9EF4-396C612D6CDF}"/>
  </bookViews>
  <sheets>
    <sheet name="RA表（オンバラ）" sheetId="1" r:id="rId1"/>
    <sheet name="RA表（オフバラ）" sheetId="2" r:id="rId2"/>
    <sheet name="明細（オンバラ）" sheetId="3" r:id="rId3"/>
    <sheet name="明細（オフバラ）" sheetId="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'明細（オンバラ）'!$A$1:$P$85</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'RA表（オンバラ）'!$A$1:$I$80</definedName>
    <definedName name="_xlnm.Print_Area" localSheetId="3">'明細（オフバラ）'!$A$1:$L$76</definedName>
    <definedName name="_xlnm.Print_Area" localSheetId="2">'明細（オンバラ）'!$A$4:$G$87</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4" l="1"/>
  <c r="G66" i="4"/>
  <c r="G65" i="4"/>
  <c r="E61" i="4"/>
  <c r="O60" i="4"/>
  <c r="K60" i="4"/>
  <c r="I60" i="4"/>
  <c r="O59" i="4"/>
  <c r="K59" i="4"/>
  <c r="I59" i="4"/>
  <c r="H59" i="4"/>
  <c r="G59" i="4"/>
  <c r="O58" i="4"/>
  <c r="K58" i="4"/>
  <c r="I58" i="4"/>
  <c r="H58" i="4"/>
  <c r="G58" i="4"/>
  <c r="O57" i="4"/>
  <c r="K57" i="4"/>
  <c r="I57" i="4"/>
  <c r="H57" i="4"/>
  <c r="G57" i="4"/>
  <c r="O56" i="4"/>
  <c r="K56" i="4"/>
  <c r="I56" i="4"/>
  <c r="H56" i="4"/>
  <c r="G56" i="4"/>
  <c r="O55" i="4"/>
  <c r="K55" i="4"/>
  <c r="I55" i="4"/>
  <c r="H55" i="4"/>
  <c r="G55" i="4"/>
  <c r="O54" i="4"/>
  <c r="K54" i="4"/>
  <c r="I54" i="4"/>
  <c r="H54" i="4"/>
  <c r="G54" i="4"/>
  <c r="O53" i="4"/>
  <c r="K53" i="4"/>
  <c r="I53" i="4"/>
  <c r="H53" i="4"/>
  <c r="G53" i="4"/>
  <c r="O52" i="4"/>
  <c r="K52" i="4"/>
  <c r="I52" i="4"/>
  <c r="H52" i="4"/>
  <c r="G52" i="4"/>
  <c r="O51" i="4"/>
  <c r="K51" i="4"/>
  <c r="I51" i="4"/>
  <c r="H51" i="4"/>
  <c r="G51" i="4"/>
  <c r="O50" i="4"/>
  <c r="K50" i="4"/>
  <c r="I50" i="4"/>
  <c r="H50" i="4"/>
  <c r="G50" i="4"/>
  <c r="O49" i="4"/>
  <c r="K49" i="4"/>
  <c r="I49" i="4"/>
  <c r="H49" i="4"/>
  <c r="H61" i="4" s="1"/>
  <c r="G49" i="4"/>
  <c r="G61" i="4" s="1"/>
  <c r="F61" i="4" s="1"/>
  <c r="E45" i="4"/>
  <c r="O44" i="4"/>
  <c r="K44" i="4"/>
  <c r="I44" i="4"/>
  <c r="O43" i="4"/>
  <c r="K43" i="4"/>
  <c r="I43" i="4"/>
  <c r="H43" i="4"/>
  <c r="G43" i="4"/>
  <c r="O42" i="4"/>
  <c r="K42" i="4"/>
  <c r="I42" i="4"/>
  <c r="H42" i="4"/>
  <c r="G42" i="4"/>
  <c r="I41" i="4"/>
  <c r="O41" i="4" s="1"/>
  <c r="K41" i="4" s="1"/>
  <c r="H41" i="4"/>
  <c r="G41" i="4"/>
  <c r="I40" i="4"/>
  <c r="O40" i="4" s="1"/>
  <c r="K40" i="4" s="1"/>
  <c r="H40" i="4"/>
  <c r="G40" i="4"/>
  <c r="I39" i="4"/>
  <c r="O39" i="4" s="1"/>
  <c r="K39" i="4" s="1"/>
  <c r="H39" i="4"/>
  <c r="G39" i="4"/>
  <c r="I38" i="4"/>
  <c r="O38" i="4" s="1"/>
  <c r="K38" i="4" s="1"/>
  <c r="H38" i="4"/>
  <c r="G38" i="4"/>
  <c r="I37" i="4"/>
  <c r="O37" i="4" s="1"/>
  <c r="K37" i="4" s="1"/>
  <c r="H37" i="4"/>
  <c r="G37" i="4"/>
  <c r="I36" i="4"/>
  <c r="O36" i="4" s="1"/>
  <c r="K36" i="4" s="1"/>
  <c r="H36" i="4"/>
  <c r="G36" i="4"/>
  <c r="I35" i="4"/>
  <c r="O35" i="4" s="1"/>
  <c r="K35" i="4" s="1"/>
  <c r="H35" i="4"/>
  <c r="G35" i="4"/>
  <c r="I34" i="4"/>
  <c r="O34" i="4" s="1"/>
  <c r="K34" i="4" s="1"/>
  <c r="H34" i="4"/>
  <c r="G34" i="4"/>
  <c r="I33" i="4"/>
  <c r="O33" i="4" s="1"/>
  <c r="K33" i="4" s="1"/>
  <c r="H33" i="4"/>
  <c r="G33" i="4"/>
  <c r="I32" i="4"/>
  <c r="O32" i="4" s="1"/>
  <c r="K32" i="4" s="1"/>
  <c r="H32" i="4"/>
  <c r="G32" i="4"/>
  <c r="I31" i="4"/>
  <c r="O31" i="4" s="1"/>
  <c r="K31" i="4" s="1"/>
  <c r="H31" i="4"/>
  <c r="G31" i="4"/>
  <c r="I30" i="4"/>
  <c r="O30" i="4" s="1"/>
  <c r="K30" i="4" s="1"/>
  <c r="H30" i="4"/>
  <c r="G30" i="4"/>
  <c r="I29" i="4"/>
  <c r="O29" i="4" s="1"/>
  <c r="K29" i="4" s="1"/>
  <c r="H29" i="4"/>
  <c r="G29" i="4"/>
  <c r="I28" i="4"/>
  <c r="O28" i="4" s="1"/>
  <c r="K28" i="4" s="1"/>
  <c r="H28" i="4"/>
  <c r="G28" i="4"/>
  <c r="I27" i="4"/>
  <c r="O27" i="4" s="1"/>
  <c r="K27" i="4" s="1"/>
  <c r="H27" i="4"/>
  <c r="G27" i="4"/>
  <c r="I26" i="4"/>
  <c r="O26" i="4" s="1"/>
  <c r="K26" i="4" s="1"/>
  <c r="H26" i="4"/>
  <c r="G26" i="4"/>
  <c r="I25" i="4"/>
  <c r="O25" i="4" s="1"/>
  <c r="K25" i="4" s="1"/>
  <c r="H25" i="4"/>
  <c r="G25" i="4"/>
  <c r="I24" i="4"/>
  <c r="O24" i="4" s="1"/>
  <c r="K24" i="4" s="1"/>
  <c r="H24" i="4"/>
  <c r="G24" i="4"/>
  <c r="I23" i="4"/>
  <c r="O23" i="4" s="1"/>
  <c r="K23" i="4" s="1"/>
  <c r="H23" i="4"/>
  <c r="G23" i="4"/>
  <c r="I22" i="4"/>
  <c r="O22" i="4" s="1"/>
  <c r="K22" i="4" s="1"/>
  <c r="H22" i="4"/>
  <c r="G22" i="4"/>
  <c r="I21" i="4"/>
  <c r="O21" i="4" s="1"/>
  <c r="K21" i="4" s="1"/>
  <c r="H21" i="4"/>
  <c r="G21" i="4"/>
  <c r="I20" i="4"/>
  <c r="O20" i="4" s="1"/>
  <c r="K20" i="4" s="1"/>
  <c r="H20" i="4"/>
  <c r="G20" i="4"/>
  <c r="I19" i="4"/>
  <c r="O19" i="4" s="1"/>
  <c r="K19" i="4" s="1"/>
  <c r="H19" i="4"/>
  <c r="G19" i="4"/>
  <c r="I18" i="4"/>
  <c r="O18" i="4" s="1"/>
  <c r="K18" i="4" s="1"/>
  <c r="H18" i="4"/>
  <c r="G18" i="4"/>
  <c r="I17" i="4"/>
  <c r="O17" i="4" s="1"/>
  <c r="K17" i="4" s="1"/>
  <c r="H17" i="4"/>
  <c r="G17" i="4"/>
  <c r="I16" i="4"/>
  <c r="O16" i="4" s="1"/>
  <c r="K16" i="4" s="1"/>
  <c r="H16" i="4"/>
  <c r="G16" i="4"/>
  <c r="I15" i="4"/>
  <c r="O15" i="4" s="1"/>
  <c r="K15" i="4" s="1"/>
  <c r="H15" i="4"/>
  <c r="G15" i="4"/>
  <c r="I14" i="4"/>
  <c r="O14" i="4" s="1"/>
  <c r="K14" i="4" s="1"/>
  <c r="H14" i="4"/>
  <c r="G14" i="4"/>
  <c r="I13" i="4"/>
  <c r="O13" i="4" s="1"/>
  <c r="K13" i="4" s="1"/>
  <c r="H13" i="4"/>
  <c r="G13" i="4"/>
  <c r="I12" i="4"/>
  <c r="O12" i="4" s="1"/>
  <c r="K12" i="4" s="1"/>
  <c r="H12" i="4"/>
  <c r="G12" i="4"/>
  <c r="I11" i="4"/>
  <c r="O11" i="4" s="1"/>
  <c r="K11" i="4" s="1"/>
  <c r="H11" i="4"/>
  <c r="G11" i="4"/>
  <c r="I10" i="4"/>
  <c r="O10" i="4" s="1"/>
  <c r="K10" i="4" s="1"/>
  <c r="H10" i="4"/>
  <c r="G10" i="4"/>
  <c r="I9" i="4"/>
  <c r="O9" i="4" s="1"/>
  <c r="K9" i="4" s="1"/>
  <c r="H9" i="4"/>
  <c r="G9" i="4"/>
  <c r="I8" i="4"/>
  <c r="O8" i="4" s="1"/>
  <c r="K8" i="4" s="1"/>
  <c r="H8" i="4"/>
  <c r="G8" i="4"/>
  <c r="I7" i="4"/>
  <c r="O7" i="4" s="1"/>
  <c r="K7" i="4" s="1"/>
  <c r="H7" i="4"/>
  <c r="G7" i="4"/>
  <c r="I6" i="4"/>
  <c r="O6" i="4" s="1"/>
  <c r="K6" i="4" s="1"/>
  <c r="H6" i="4"/>
  <c r="H45" i="4" s="1"/>
  <c r="G6" i="4"/>
  <c r="G45" i="4" s="1"/>
  <c r="F45" i="4" s="1"/>
  <c r="O85" i="3"/>
  <c r="O84" i="3"/>
  <c r="O83" i="3"/>
  <c r="O82" i="3"/>
  <c r="O81" i="3"/>
  <c r="O78" i="3"/>
  <c r="O77" i="3"/>
  <c r="O74" i="3"/>
  <c r="I74" i="3"/>
  <c r="G73" i="3"/>
  <c r="B73" i="3"/>
  <c r="O72" i="3"/>
  <c r="O70" i="3"/>
  <c r="O69" i="3"/>
  <c r="O68" i="3"/>
  <c r="O67" i="3"/>
  <c r="O66" i="3"/>
  <c r="O65" i="3"/>
  <c r="O64" i="3"/>
  <c r="O63" i="3"/>
  <c r="O62" i="3"/>
  <c r="O59" i="3"/>
  <c r="O58" i="3"/>
  <c r="I61" i="3"/>
  <c r="O57" i="3"/>
  <c r="O55" i="3"/>
  <c r="E55" i="3"/>
  <c r="O54" i="3"/>
  <c r="I54" i="3"/>
  <c r="I53" i="3"/>
  <c r="G53" i="3"/>
  <c r="O53" i="3"/>
  <c r="G52" i="3"/>
  <c r="O51" i="3"/>
  <c r="O50" i="3"/>
  <c r="I50" i="3"/>
  <c r="O49" i="3"/>
  <c r="O48" i="3"/>
  <c r="E48" i="3"/>
  <c r="O47" i="3"/>
  <c r="I47" i="3"/>
  <c r="I46" i="3"/>
  <c r="G46" i="3"/>
  <c r="O46" i="3"/>
  <c r="G45" i="3"/>
  <c r="O44" i="3"/>
  <c r="O43" i="3"/>
  <c r="O42" i="3"/>
  <c r="O41" i="3"/>
  <c r="O40" i="3"/>
  <c r="O39" i="3"/>
  <c r="O10" i="3"/>
  <c r="O9" i="3"/>
  <c r="I12" i="3"/>
  <c r="H34" i="2"/>
  <c r="G34" i="2"/>
  <c r="F34" i="2"/>
  <c r="H33" i="2"/>
  <c r="G33" i="2"/>
  <c r="F33" i="2"/>
  <c r="H32" i="2"/>
  <c r="G32" i="2"/>
  <c r="F32" i="2"/>
  <c r="H31" i="2"/>
  <c r="G31" i="2"/>
  <c r="F31" i="2"/>
  <c r="H30" i="2"/>
  <c r="G30" i="2"/>
  <c r="F30" i="2"/>
  <c r="H29" i="2"/>
  <c r="G29" i="2"/>
  <c r="F29" i="2"/>
  <c r="H28" i="2"/>
  <c r="G28" i="2"/>
  <c r="F28" i="2"/>
  <c r="H27" i="2"/>
  <c r="G27" i="2"/>
  <c r="F27" i="2"/>
  <c r="H26" i="2"/>
  <c r="G26" i="2"/>
  <c r="F26" i="2"/>
  <c r="H25" i="2"/>
  <c r="G25" i="2"/>
  <c r="F25" i="2"/>
  <c r="H24" i="2"/>
  <c r="G24" i="2"/>
  <c r="F24" i="2"/>
  <c r="H23" i="2"/>
  <c r="G23" i="2"/>
  <c r="F23" i="2"/>
  <c r="H22" i="2"/>
  <c r="G22" i="2"/>
  <c r="F22" i="2"/>
  <c r="H21" i="2"/>
  <c r="G21" i="2"/>
  <c r="F21" i="2"/>
  <c r="H20" i="2"/>
  <c r="G20" i="2"/>
  <c r="F20" i="2"/>
  <c r="H19" i="2"/>
  <c r="G19" i="2"/>
  <c r="F19" i="2"/>
  <c r="H18" i="2"/>
  <c r="G18" i="2"/>
  <c r="F18" i="2"/>
  <c r="H17" i="2"/>
  <c r="G17" i="2"/>
  <c r="F17" i="2"/>
  <c r="H16" i="2"/>
  <c r="G16" i="2"/>
  <c r="F16" i="2"/>
  <c r="H15" i="2"/>
  <c r="G15" i="2"/>
  <c r="F15" i="2"/>
  <c r="H14" i="2"/>
  <c r="G14" i="2"/>
  <c r="F14" i="2"/>
  <c r="H13" i="2"/>
  <c r="G13" i="2"/>
  <c r="F13" i="2"/>
  <c r="H12" i="2"/>
  <c r="G12" i="2"/>
  <c r="G35" i="2" s="1"/>
  <c r="F12" i="2"/>
  <c r="F35" i="2" s="1"/>
  <c r="C4" i="2"/>
  <c r="C3" i="2"/>
  <c r="H35" i="2" l="1"/>
  <c r="I12" i="2"/>
  <c r="I13" i="2"/>
  <c r="I14" i="2"/>
  <c r="I15" i="2"/>
  <c r="I16" i="2"/>
  <c r="I17" i="2"/>
  <c r="I18" i="2"/>
  <c r="I19" i="2"/>
  <c r="I20" i="2"/>
  <c r="I21" i="2"/>
  <c r="I22" i="2"/>
  <c r="I23" i="2"/>
  <c r="I24" i="2"/>
  <c r="I25" i="2"/>
  <c r="I26" i="2"/>
  <c r="I27" i="2"/>
  <c r="I28" i="2"/>
  <c r="I29" i="2"/>
  <c r="I30" i="2"/>
  <c r="I31" i="2"/>
  <c r="I32" i="2"/>
  <c r="I33" i="2"/>
  <c r="I34" i="2"/>
  <c r="I13" i="3"/>
  <c r="G11" i="3"/>
  <c r="B46" i="3"/>
  <c r="B45" i="3"/>
  <c r="O45" i="3"/>
  <c r="B53" i="3"/>
  <c r="B52" i="3"/>
  <c r="O52" i="3"/>
  <c r="I63" i="3"/>
  <c r="O60" i="3"/>
  <c r="E64" i="3"/>
  <c r="O73" i="3"/>
  <c r="O61" i="3" l="1"/>
  <c r="O11" i="3"/>
  <c r="G12" i="3"/>
  <c r="I14" i="3"/>
  <c r="I15" i="3" l="1"/>
  <c r="G13" i="3"/>
  <c r="O12" i="3"/>
  <c r="O13" i="3" l="1"/>
  <c r="I16" i="3"/>
  <c r="G14" i="3"/>
  <c r="O14" i="3" l="1"/>
  <c r="I17" i="3"/>
  <c r="G15" i="3"/>
  <c r="O15" i="3" l="1"/>
  <c r="I18" i="3"/>
  <c r="G16" i="3"/>
  <c r="O16" i="3" l="1"/>
  <c r="I19" i="3"/>
  <c r="G17" i="3"/>
  <c r="O17" i="3" l="1"/>
  <c r="I20" i="3"/>
  <c r="G18" i="3"/>
  <c r="O18" i="3" l="1"/>
  <c r="I21" i="3"/>
  <c r="G19" i="3"/>
  <c r="O19" i="3" l="1"/>
  <c r="I22" i="3"/>
  <c r="G20" i="3"/>
  <c r="O20" i="3" l="1"/>
  <c r="I23" i="3"/>
  <c r="G21" i="3"/>
  <c r="O21" i="3" l="1"/>
  <c r="I24" i="3"/>
  <c r="G22" i="3"/>
  <c r="O22" i="3" l="1"/>
  <c r="I25" i="3"/>
  <c r="G23" i="3"/>
  <c r="O23" i="3" l="1"/>
  <c r="I26" i="3"/>
  <c r="G24" i="3"/>
  <c r="O24" i="3" l="1"/>
  <c r="I27" i="3"/>
  <c r="G25" i="3"/>
  <c r="O25" i="3" l="1"/>
  <c r="I28" i="3"/>
  <c r="G26" i="3"/>
  <c r="O26" i="3" l="1"/>
  <c r="I29" i="3"/>
  <c r="G27" i="3"/>
  <c r="O27" i="3" l="1"/>
  <c r="I30" i="3"/>
  <c r="G28" i="3"/>
  <c r="O28" i="3" l="1"/>
  <c r="I31" i="3"/>
  <c r="G29" i="3"/>
  <c r="O29" i="3" l="1"/>
  <c r="I32" i="3"/>
  <c r="G30" i="3"/>
  <c r="O30" i="3" l="1"/>
  <c r="I33" i="3"/>
  <c r="G31" i="3"/>
  <c r="O31" i="3" l="1"/>
  <c r="G33" i="3"/>
  <c r="O33" i="3"/>
  <c r="I34" i="3"/>
  <c r="G32" i="3"/>
  <c r="O32" i="3" l="1"/>
  <c r="G34" i="3"/>
  <c r="I35" i="3"/>
  <c r="G35" i="3" l="1"/>
  <c r="O35" i="3"/>
  <c r="I36" i="3"/>
  <c r="O34" i="3"/>
  <c r="G36" i="3" l="1"/>
  <c r="I37" i="3"/>
  <c r="G37" i="3" l="1"/>
  <c r="O37" i="3"/>
  <c r="I38" i="3"/>
  <c r="O36" i="3"/>
  <c r="G38" i="3" l="1"/>
  <c r="E39" i="3"/>
  <c r="G47" i="1"/>
  <c r="F62" i="1" s="1"/>
  <c r="H43" i="1"/>
  <c r="G43" i="1"/>
  <c r="H42" i="1"/>
  <c r="G42" i="1"/>
  <c r="H41" i="1"/>
  <c r="G41" i="1"/>
  <c r="H40" i="1"/>
  <c r="G40" i="1"/>
  <c r="H39" i="1"/>
  <c r="G39" i="1"/>
  <c r="H38" i="1"/>
  <c r="G38"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F13" i="1" l="1"/>
  <c r="F14" i="1"/>
  <c r="F15" i="1"/>
  <c r="F16" i="1"/>
  <c r="F17" i="1"/>
  <c r="F18" i="1"/>
  <c r="F19" i="1"/>
  <c r="F20" i="1"/>
  <c r="F21" i="1"/>
  <c r="F22" i="1"/>
  <c r="F23" i="1"/>
  <c r="F24" i="1"/>
  <c r="F25" i="1"/>
  <c r="F26" i="1"/>
  <c r="F27" i="1"/>
  <c r="F28" i="1"/>
  <c r="F29" i="1"/>
  <c r="F30" i="1"/>
  <c r="F31" i="1"/>
  <c r="F32" i="1"/>
  <c r="F33" i="1"/>
  <c r="F34" i="1"/>
  <c r="F35" i="1"/>
  <c r="F38" i="1"/>
  <c r="F39" i="1"/>
  <c r="F40" i="1"/>
  <c r="F41" i="1"/>
  <c r="F42" i="1"/>
  <c r="F43" i="1"/>
  <c r="E67" i="3"/>
  <c r="O38" i="3"/>
  <c r="E76" i="3"/>
  <c r="E77" i="3" s="1"/>
  <c r="G52" i="1"/>
  <c r="G77" i="3" l="1"/>
  <c r="H37" i="1" s="1"/>
  <c r="G51" i="1"/>
  <c r="G37" i="1"/>
  <c r="G36" i="1" s="1"/>
  <c r="G44" i="1" s="1"/>
  <c r="E82" i="3"/>
  <c r="I13" i="1" l="1"/>
  <c r="I14" i="1"/>
  <c r="I15" i="1"/>
  <c r="I16" i="1"/>
  <c r="I17" i="1"/>
  <c r="I18" i="1"/>
  <c r="I19" i="1"/>
  <c r="I20" i="1"/>
  <c r="I21" i="1"/>
  <c r="I22" i="1"/>
  <c r="I23" i="1"/>
  <c r="I24" i="1"/>
  <c r="I25" i="1"/>
  <c r="I26" i="1"/>
  <c r="I27" i="1"/>
  <c r="I28" i="1"/>
  <c r="I29" i="1"/>
  <c r="I30" i="1"/>
  <c r="I31" i="1"/>
  <c r="I32" i="1"/>
  <c r="I33" i="1"/>
  <c r="I34" i="1"/>
  <c r="I35" i="1"/>
  <c r="I40" i="1"/>
  <c r="I41" i="1"/>
  <c r="I42" i="1"/>
  <c r="I43" i="1"/>
  <c r="G53" i="1"/>
  <c r="F58" i="1"/>
  <c r="F37" i="1"/>
  <c r="H36" i="1"/>
  <c r="I36" i="1" l="1"/>
  <c r="F36" i="1"/>
  <c r="H44" i="1"/>
  <c r="I83" i="3"/>
  <c r="F56" i="1" l="1"/>
  <c r="F59" i="1" s="1"/>
  <c r="F44" i="1"/>
</calcChain>
</file>

<file path=xl/sharedStrings.xml><?xml version="1.0" encoding="utf-8"?>
<sst xmlns="http://schemas.openxmlformats.org/spreadsheetml/2006/main" count="611" uniqueCount="217">
  <si>
    <t>投資法人の資産構成内容（オン・バランス）</t>
    <phoneticPr fontId="5"/>
  </si>
  <si>
    <t>投資法人名</t>
    <phoneticPr fontId="5"/>
  </si>
  <si>
    <t>平和不動産リート投資法人</t>
    <rPh sb="0" eb="5">
      <t>ヘイワフドウサン</t>
    </rPh>
    <rPh sb="8" eb="10">
      <t>トウシ</t>
    </rPh>
    <rPh sb="10" eb="12">
      <t>ホウジン</t>
    </rPh>
    <phoneticPr fontId="5"/>
  </si>
  <si>
    <t>作成者</t>
    <rPh sb="0" eb="3">
      <t>サクセイシャ</t>
    </rPh>
    <phoneticPr fontId="5"/>
  </si>
  <si>
    <t>平和不動産アセットマネジメント株式会社</t>
    <rPh sb="0" eb="5">
      <t>ヘイワフドウサン</t>
    </rPh>
    <rPh sb="15" eb="19">
      <t>カブシキガイシャ</t>
    </rPh>
    <phoneticPr fontId="5"/>
  </si>
  <si>
    <t>時点</t>
    <rPh sb="0" eb="2">
      <t>ジテン</t>
    </rPh>
    <phoneticPr fontId="5"/>
  </si>
  <si>
    <t>●標記投資法人の資産（オン・バランス）構成内容は以下のとおりです。</t>
    <rPh sb="3" eb="7">
      <t>トウシホウジン</t>
    </rPh>
    <phoneticPr fontId="8"/>
  </si>
  <si>
    <t>（千円）</t>
    <rPh sb="1" eb="3">
      <t>センエン</t>
    </rPh>
    <phoneticPr fontId="5"/>
  </si>
  <si>
    <t>項目</t>
    <rPh sb="0" eb="2">
      <t>コウモク</t>
    </rPh>
    <phoneticPr fontId="5"/>
  </si>
  <si>
    <t>資産項目</t>
    <rPh sb="0" eb="4">
      <t>シサンコウモク</t>
    </rPh>
    <phoneticPr fontId="5"/>
  </si>
  <si>
    <t>告示で定める
ﾘｽｸ･ｳｪｲﾄ（%）</t>
    <phoneticPr fontId="4"/>
  </si>
  <si>
    <t>信用リスク削減効果適用前</t>
    <rPh sb="0" eb="2">
      <t>シンヨウ</t>
    </rPh>
    <rPh sb="5" eb="7">
      <t>サクゲン</t>
    </rPh>
    <rPh sb="7" eb="9">
      <t>コウカ</t>
    </rPh>
    <rPh sb="9" eb="11">
      <t>テキヨウ</t>
    </rPh>
    <rPh sb="11" eb="12">
      <t>マエ</t>
    </rPh>
    <phoneticPr fontId="10"/>
  </si>
  <si>
    <t>a. ﾘｽｸ･ｳｪｲﾄの
加重平均値（%）</t>
    <phoneticPr fontId="5"/>
  </si>
  <si>
    <t>b. 時価</t>
    <rPh sb="3" eb="5">
      <t>ジカ</t>
    </rPh>
    <phoneticPr fontId="10"/>
  </si>
  <si>
    <t>c. 信用ﾘｽｸ･
ｱｾｯﾄの額(a*b)</t>
    <rPh sb="3" eb="5">
      <t>シンヨウ</t>
    </rPh>
    <rPh sb="15" eb="16">
      <t>ガク</t>
    </rPh>
    <phoneticPr fontId="10"/>
  </si>
  <si>
    <t>関数用</t>
    <rPh sb="0" eb="3">
      <t>カンスウヨウ</t>
    </rPh>
    <phoneticPr fontId="5"/>
  </si>
  <si>
    <t>内容</t>
    <rPh sb="0" eb="2">
      <t>ナイヨウ</t>
    </rPh>
    <phoneticPr fontId="5"/>
  </si>
  <si>
    <t>現金</t>
  </si>
  <si>
    <t>我が国の中央政府及び中央銀行向け</t>
    <phoneticPr fontId="4"/>
  </si>
  <si>
    <t>外国の中央政府及び中央銀行向け</t>
  </si>
  <si>
    <t>0～150</t>
    <phoneticPr fontId="8"/>
  </si>
  <si>
    <t>国際決済銀行等向け</t>
  </si>
  <si>
    <t>我が国の地方公共団体向け</t>
  </si>
  <si>
    <t>外国の中央政府等以外の公共部門向け（カバード・ボンド除く）</t>
    <rPh sb="26" eb="27">
      <t>ノゾ</t>
    </rPh>
    <phoneticPr fontId="4"/>
  </si>
  <si>
    <t>20～150</t>
    <phoneticPr fontId="8"/>
  </si>
  <si>
    <t>国際開発銀行向け</t>
  </si>
  <si>
    <t>地方公共団体金融機構向け</t>
  </si>
  <si>
    <t>10～150</t>
    <phoneticPr fontId="8"/>
  </si>
  <si>
    <t>我が国の政府関係機関向け</t>
  </si>
  <si>
    <t>地方三公社向け</t>
  </si>
  <si>
    <t>金融機関及び第一種金融商品取引業者及び保険会社向け</t>
    <phoneticPr fontId="8"/>
  </si>
  <si>
    <t>　（うち第一種金融商品取引業者及び保険会社向け）</t>
    <phoneticPr fontId="5"/>
  </si>
  <si>
    <t>カバード・ボンド向け</t>
    <phoneticPr fontId="8"/>
  </si>
  <si>
    <t>10～100</t>
    <phoneticPr fontId="8"/>
  </si>
  <si>
    <t>法人等向け（特定貸付債権向けを含む）</t>
    <phoneticPr fontId="8"/>
  </si>
  <si>
    <t>　（うち特定貸付債権向け）</t>
    <phoneticPr fontId="11"/>
  </si>
  <si>
    <t>適格中堅中小企業等向け及び個人向け</t>
    <phoneticPr fontId="8"/>
  </si>
  <si>
    <t>45～150</t>
    <phoneticPr fontId="8"/>
  </si>
  <si>
    <t>不動産関連向け</t>
    <rPh sb="0" eb="3">
      <t>フドウサン</t>
    </rPh>
    <rPh sb="3" eb="6">
      <t>カンレンム</t>
    </rPh>
    <phoneticPr fontId="8"/>
  </si>
  <si>
    <t>20～150</t>
  </si>
  <si>
    <t>劣後債権その他資本性証券</t>
    <phoneticPr fontId="8"/>
  </si>
  <si>
    <t>延滞等</t>
    <rPh sb="0" eb="2">
      <t>エンタイ</t>
    </rPh>
    <rPh sb="2" eb="3">
      <t>ナド</t>
    </rPh>
    <phoneticPr fontId="5"/>
  </si>
  <si>
    <t>50～150</t>
    <phoneticPr fontId="5"/>
  </si>
  <si>
    <t>取立未済手形</t>
  </si>
  <si>
    <t>信用保証協会等による保証付</t>
  </si>
  <si>
    <t>0～10</t>
  </si>
  <si>
    <t>株式会社地域経済活性化支援機構等による保証付</t>
    <rPh sb="4" eb="6">
      <t>チイキ</t>
    </rPh>
    <rPh sb="6" eb="8">
      <t>ケイザイ</t>
    </rPh>
    <rPh sb="8" eb="11">
      <t>カッセイカ</t>
    </rPh>
    <rPh sb="15" eb="16">
      <t>トウ</t>
    </rPh>
    <phoneticPr fontId="5"/>
  </si>
  <si>
    <t>株式及び株式と同等の性質を有するもの</t>
    <rPh sb="0" eb="2">
      <t>カブシキ</t>
    </rPh>
    <rPh sb="2" eb="3">
      <t>オヨ</t>
    </rPh>
    <rPh sb="4" eb="6">
      <t>カブシキ</t>
    </rPh>
    <rPh sb="7" eb="9">
      <t>ドウトウ</t>
    </rPh>
    <rPh sb="10" eb="12">
      <t>セイシツ</t>
    </rPh>
    <rPh sb="13" eb="14">
      <t>ユウ</t>
    </rPh>
    <phoneticPr fontId="8"/>
  </si>
  <si>
    <t>250/400</t>
    <phoneticPr fontId="8"/>
  </si>
  <si>
    <t>上記以外</t>
    <phoneticPr fontId="4"/>
  </si>
  <si>
    <t>-</t>
  </si>
  <si>
    <t>（うち有形固定資産（不動産））</t>
    <phoneticPr fontId="12"/>
  </si>
  <si>
    <t>（うち有形固定資産（不動産）（匿名組合出資持分の裏付資産））</t>
    <phoneticPr fontId="12"/>
  </si>
  <si>
    <t>（うち無形固定資産（借地権））</t>
    <phoneticPr fontId="12"/>
  </si>
  <si>
    <t>（うち上記以外のエクスポージャー）</t>
    <rPh sb="3" eb="5">
      <t>ジョウキ</t>
    </rPh>
    <rPh sb="5" eb="7">
      <t>イガイ</t>
    </rPh>
    <phoneticPr fontId="12"/>
  </si>
  <si>
    <t>-</t>
    <phoneticPr fontId="5"/>
  </si>
  <si>
    <t>証券化</t>
    <phoneticPr fontId="5"/>
  </si>
  <si>
    <t>0～1250</t>
    <phoneticPr fontId="4"/>
  </si>
  <si>
    <t>再証券化</t>
    <phoneticPr fontId="5"/>
  </si>
  <si>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</si>
  <si>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5"/>
  </si>
  <si>
    <t>欄外</t>
    <rPh sb="0" eb="2">
      <t>ランガイ</t>
    </rPh>
    <phoneticPr fontId="5"/>
  </si>
  <si>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12"/>
  </si>
  <si>
    <t>デリバティブ債権（オフバランスに記載）</t>
    <rPh sb="6" eb="8">
      <t>サイケン</t>
    </rPh>
    <rPh sb="16" eb="18">
      <t>キサイ</t>
    </rPh>
    <phoneticPr fontId="12"/>
  </si>
  <si>
    <t>流動資産デリバティブ債権</t>
  </si>
  <si>
    <t>投資その他の資産デリバティブ債権</t>
  </si>
  <si>
    <t>1.　貸借対照表上の資産合計</t>
    <rPh sb="3" eb="9">
      <t>タイシャクタイショウヒョウジョウ</t>
    </rPh>
    <rPh sb="10" eb="14">
      <t>シサンゴウケイ</t>
    </rPh>
    <phoneticPr fontId="12"/>
  </si>
  <si>
    <t>資産合計</t>
    <rPh sb="0" eb="4">
      <t>シサンゴウケイ</t>
    </rPh>
    <phoneticPr fontId="12"/>
  </si>
  <si>
    <t>2.　不動産鑑定評価額</t>
    <rPh sb="3" eb="6">
      <t>フドウサン</t>
    </rPh>
    <rPh sb="6" eb="11">
      <t>カンテイヒョウカガク</t>
    </rPh>
    <phoneticPr fontId="12"/>
  </si>
  <si>
    <t>3.　不動産帳簿価額</t>
    <rPh sb="3" eb="6">
      <t>フドウサン</t>
    </rPh>
    <rPh sb="6" eb="8">
      <t>チョウボ</t>
    </rPh>
    <rPh sb="8" eb="10">
      <t>カガク</t>
    </rPh>
    <phoneticPr fontId="12"/>
  </si>
  <si>
    <t>4.　オンバランス明細合計（1+2-3-欄外）</t>
    <rPh sb="9" eb="11">
      <t>メイサイ</t>
    </rPh>
    <rPh sb="11" eb="13">
      <t>ゴウケイ</t>
    </rPh>
    <rPh sb="20" eb="22">
      <t>ランガイ</t>
    </rPh>
    <phoneticPr fontId="12"/>
  </si>
  <si>
    <t>a. ｵﾝﾊﾞﾗﾝｽ・ｵﾌﾊﾞﾗﾝｽ　ﾘｽｸｱｾｯﾄ総額</t>
    <rPh sb="26" eb="28">
      <t>ソウガク</t>
    </rPh>
    <phoneticPr fontId="5"/>
  </si>
  <si>
    <t>b. 純資産額（帳簿価額）</t>
    <rPh sb="3" eb="6">
      <t>ジュンシサン</t>
    </rPh>
    <rPh sb="6" eb="7">
      <t>ガク</t>
    </rPh>
    <rPh sb="8" eb="12">
      <t>チョウボカガク</t>
    </rPh>
    <phoneticPr fontId="5"/>
  </si>
  <si>
    <t>c. 純資産額（時価）（b+2-3）</t>
    <rPh sb="3" eb="6">
      <t>ジュンシサン</t>
    </rPh>
    <rPh sb="6" eb="7">
      <t>ガク</t>
    </rPh>
    <rPh sb="8" eb="10">
      <t>ジカ</t>
    </rPh>
    <phoneticPr fontId="5"/>
  </si>
  <si>
    <t>リスク・ウェイト(a/c)</t>
    <phoneticPr fontId="5"/>
  </si>
  <si>
    <t>発行済投資口数</t>
    <rPh sb="0" eb="3">
      <t>ハッコウズ</t>
    </rPh>
    <rPh sb="3" eb="7">
      <t>トウシクチスウ</t>
    </rPh>
    <phoneticPr fontId="5"/>
  </si>
  <si>
    <t>1口当たり自己資本調整額</t>
    <rPh sb="1" eb="3">
      <t>クチア</t>
    </rPh>
    <rPh sb="5" eb="7">
      <t>ジコ</t>
    </rPh>
    <rPh sb="7" eb="9">
      <t>シホン</t>
    </rPh>
    <rPh sb="9" eb="11">
      <t>チョウセイ</t>
    </rPh>
    <rPh sb="11" eb="12">
      <t>ガク</t>
    </rPh>
    <phoneticPr fontId="5"/>
  </si>
  <si>
    <t>本資料は、本投資法人の投資口を保有する金融機関において、適用のある自己資本比率を算出する上で参考にしていただくことを目的として、本投資法人の資産運用会社である平和不動産アセットマネジメント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rPh sb="79" eb="84">
      <t>ヘイワフドウサン</t>
    </rPh>
    <rPh sb="94" eb="98">
      <t>カブシキガイシャ</t>
    </rPh>
    <phoneticPr fontId="5"/>
  </si>
  <si>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5"/>
  </si>
  <si>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5"/>
  </si>
  <si>
    <t>借地権については、2027年4月から適用が予定されている新リース会計基準（企業会計基準第34号「リースに関する会計基準」及び企業会計基準適用指針第33号「リースに関する会計基準の適用指針」）並びに金融庁「自己資本比率規制に関するQ&amp;A」（第77条-Q3）を前提として、項番22「上記以外」のうち「無形固定資産（借地権）」に分類したうえで、リスク・ウェイトを100%として計上しています。必要に応じ、欄外の「上記以外の無形固定資産等（自己資本調整項目）」に振り替えたうえでご利用ください。</t>
    <rPh sb="0" eb="3">
      <t>シャクチケン</t>
    </rPh>
    <rPh sb="13" eb="14">
      <t>ネン</t>
    </rPh>
    <rPh sb="15" eb="16">
      <t>ガツ</t>
    </rPh>
    <rPh sb="18" eb="20">
      <t>テキヨウ</t>
    </rPh>
    <rPh sb="21" eb="23">
      <t>ヨテイ</t>
    </rPh>
    <rPh sb="28" eb="29">
      <t>シン</t>
    </rPh>
    <rPh sb="134" eb="136">
      <t>コウバン</t>
    </rPh>
    <rPh sb="139" eb="143">
      <t>ジョウキイガイ</t>
    </rPh>
    <rPh sb="161" eb="163">
      <t>ブンルイ</t>
    </rPh>
    <rPh sb="193" eb="195">
      <t>ヒツヨウ</t>
    </rPh>
    <rPh sb="196" eb="197">
      <t>オウ</t>
    </rPh>
    <rPh sb="199" eb="201">
      <t>ランガイ</t>
    </rPh>
    <rPh sb="227" eb="228">
      <t>フ</t>
    </rPh>
    <rPh sb="229" eb="230">
      <t>カ</t>
    </rPh>
    <rPh sb="236" eb="238">
      <t>リヨウ</t>
    </rPh>
    <phoneticPr fontId="5"/>
  </si>
  <si>
    <t>告示上、適用されるリスク・ウェイトについて経過措置が定められている場合であっても、本資料では、かかる経過措置が終了した後に適用されるリスク・ウェイトを記載しています。</t>
    <phoneticPr fontId="5"/>
  </si>
  <si>
    <t>弊社では、告示第48条の2に規定される「デュー・ディリジェンス分析」は実施しておりません。</t>
    <phoneticPr fontId="5"/>
  </si>
  <si>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5"/>
  </si>
  <si>
    <t>本資料は、作成基準日時点における、独立監査人による監査報告書受領済の2025年11月期の計算書類に基づき作成しています。</t>
    <phoneticPr fontId="5"/>
  </si>
  <si>
    <t>「我が国の中央政府及び中央銀行向け」の項目には、投資法人が東京法務局に供託している営業保証金が含まれています。</t>
    <phoneticPr fontId="5"/>
  </si>
  <si>
    <t>「金融機関及び第一種金融商品取引業者及び保険会社向け」の項目は、全て預入時から満期までの期間が3ヶ月以内の預金又は普通預金です。</t>
    <phoneticPr fontId="5"/>
  </si>
  <si>
    <t>「時価金額」の項目は、2025年11月期の決算書に基づく簿価を掲載しています。なお、有形固定資産（不動産）については、期末時点の鑑定評価額合計から無形固定資産（借地権）の簿価を控除して算出しています。</t>
    <phoneticPr fontId="5"/>
  </si>
  <si>
    <t>項番22に該当する個別の資産の内容は2025年11月期資産運用報告の「投資法人の運用資産の状況」をご参照ください。</t>
    <phoneticPr fontId="5"/>
  </si>
  <si>
    <t>告示に定める、他の金融機関等の対象資本等調達手段に相当するエクスポージャーは保有しておりません。</t>
    <phoneticPr fontId="5"/>
  </si>
  <si>
    <t>投資法人の資産構成内容（オフ・バランス）</t>
    <phoneticPr fontId="5"/>
  </si>
  <si>
    <t>投資法人名</t>
    <rPh sb="0" eb="5">
      <t>トウシホウジンメイ</t>
    </rPh>
    <phoneticPr fontId="5"/>
  </si>
  <si>
    <t>作成時点</t>
    <rPh sb="0" eb="2">
      <t>サクセイ</t>
    </rPh>
    <rPh sb="2" eb="4">
      <t>ジテン</t>
    </rPh>
    <phoneticPr fontId="5"/>
  </si>
  <si>
    <t>●標記投資法人の資産（オフ・バランス）構成内容は以下のとおりです。</t>
    <rPh sb="5" eb="7">
      <t>ホウジン</t>
    </rPh>
    <phoneticPr fontId="8"/>
  </si>
  <si>
    <t>掛け目（%）</t>
    <rPh sb="0" eb="1">
      <t>カ</t>
    </rPh>
    <rPh sb="2" eb="3">
      <t>メ</t>
    </rPh>
    <phoneticPr fontId="4"/>
  </si>
  <si>
    <t>想定元本</t>
    <rPh sb="0" eb="4">
      <t>ソウテイガンポン</t>
    </rPh>
    <phoneticPr fontId="5"/>
  </si>
  <si>
    <t>与信相当額</t>
    <rPh sb="0" eb="2">
      <t>ヨシン</t>
    </rPh>
    <rPh sb="2" eb="5">
      <t>ソウトウガク</t>
    </rPh>
    <phoneticPr fontId="5"/>
  </si>
  <si>
    <t>信用リスクアセット</t>
    <rPh sb="0" eb="2">
      <t>シンヨウ</t>
    </rPh>
    <phoneticPr fontId="10"/>
  </si>
  <si>
    <t>任意の時期に無条件で取消可能又は相手方の信用状態が悪化した場合に自動的に取消可能なコミットメント</t>
    <phoneticPr fontId="5"/>
  </si>
  <si>
    <t>短期かつ流動性の高い貿易関連偶発債務</t>
    <rPh sb="16" eb="18">
      <t>サイム</t>
    </rPh>
    <phoneticPr fontId="4"/>
  </si>
  <si>
    <t>コミットメント（項目1に該当するものを除く）</t>
    <rPh sb="8" eb="10">
      <t>コウモク</t>
    </rPh>
    <rPh sb="12" eb="14">
      <t>ガイトウ</t>
    </rPh>
    <rPh sb="19" eb="20">
      <t>ノゾ</t>
    </rPh>
    <phoneticPr fontId="5"/>
  </si>
  <si>
    <t>特定の取引に係る偶発債務（項目2に該当するものを除く）</t>
    <rPh sb="10" eb="12">
      <t>サイム</t>
    </rPh>
    <phoneticPr fontId="5"/>
  </si>
  <si>
    <t>ＮＩＦ又はＲＵＦ</t>
    <phoneticPr fontId="4"/>
  </si>
  <si>
    <t>信用供与に直接代替する偶発債務</t>
    <phoneticPr fontId="5"/>
  </si>
  <si>
    <t>有価証券の貸付、現金若しくは有価証券による担保の提供又は有価証券の買戻条件付売却若しくは売戻条件付購入</t>
    <phoneticPr fontId="8"/>
  </si>
  <si>
    <t>上記のいずれにも該当しない信用供与に代替するオフ・バランス取引</t>
    <phoneticPr fontId="8"/>
  </si>
  <si>
    <t>買戻条件付資産売却又は求償権付資産売却等</t>
    <phoneticPr fontId="11"/>
  </si>
  <si>
    <t>先物資産購入、先渡預金、部分払込株式の購入又は部分払込債券の購入</t>
    <rPh sb="2" eb="4">
      <t>シサン</t>
    </rPh>
    <rPh sb="19" eb="21">
      <t>コウニュウ</t>
    </rPh>
    <rPh sb="30" eb="32">
      <t>コウニュウ</t>
    </rPh>
    <phoneticPr fontId="8"/>
  </si>
  <si>
    <t>派生商品取引</t>
    <rPh sb="0" eb="2">
      <t>ハセイ</t>
    </rPh>
    <rPh sb="2" eb="4">
      <t>ショウヒン</t>
    </rPh>
    <rPh sb="4" eb="6">
      <t>トリヒキ</t>
    </rPh>
    <phoneticPr fontId="8"/>
  </si>
  <si>
    <t>11-1</t>
    <phoneticPr fontId="5"/>
  </si>
  <si>
    <t>外国為替関連取引</t>
    <rPh sb="6" eb="8">
      <t>トリヒキ</t>
    </rPh>
    <phoneticPr fontId="4"/>
  </si>
  <si>
    <t>11-2</t>
    <phoneticPr fontId="5"/>
  </si>
  <si>
    <t>金利関連取引</t>
    <rPh sb="4" eb="6">
      <t>トリヒキ</t>
    </rPh>
    <phoneticPr fontId="4"/>
  </si>
  <si>
    <t>金利スワップ取引</t>
    <rPh sb="0" eb="2">
      <t>キンリ</t>
    </rPh>
    <rPh sb="6" eb="8">
      <t>トリヒキ</t>
    </rPh>
    <phoneticPr fontId="5"/>
  </si>
  <si>
    <t>11-3</t>
    <phoneticPr fontId="5"/>
  </si>
  <si>
    <t>金関連取引</t>
    <rPh sb="3" eb="5">
      <t>トリヒキ</t>
    </rPh>
    <phoneticPr fontId="4"/>
  </si>
  <si>
    <t>11-4</t>
    <phoneticPr fontId="5"/>
  </si>
  <si>
    <t>株式関連取引</t>
    <rPh sb="4" eb="6">
      <t>トリヒキ</t>
    </rPh>
    <phoneticPr fontId="4"/>
  </si>
  <si>
    <t>11-5</t>
    <phoneticPr fontId="5"/>
  </si>
  <si>
    <t>貴金属(金を除く)関連取引</t>
    <rPh sb="11" eb="13">
      <t>トリヒキ</t>
    </rPh>
    <phoneticPr fontId="4"/>
  </si>
  <si>
    <t>11-6</t>
    <phoneticPr fontId="5"/>
  </si>
  <si>
    <t>その他のコモディティ関連取引</t>
    <rPh sb="12" eb="14">
      <t>トリヒキ</t>
    </rPh>
    <phoneticPr fontId="8"/>
  </si>
  <si>
    <t>11-7</t>
    <phoneticPr fontId="5"/>
  </si>
  <si>
    <t>クレジット・デリバティブ取引
（カウンター・パーティー・リスク）</t>
    <rPh sb="12" eb="14">
      <t>トリヒキ</t>
    </rPh>
    <phoneticPr fontId="5"/>
  </si>
  <si>
    <t>一括清算ﾈｯﾃｨﾝｸﾞ契約による与信相当額削減効果（△）</t>
    <phoneticPr fontId="5"/>
  </si>
  <si>
    <t>長期決済期間取引</t>
    <rPh sb="6" eb="8">
      <t>トリヒキ</t>
    </rPh>
    <phoneticPr fontId="5"/>
  </si>
  <si>
    <t>未決済取引</t>
    <rPh sb="0" eb="3">
      <t>ミケッサイ</t>
    </rPh>
    <rPh sb="3" eb="5">
      <t>トリヒキ</t>
    </rPh>
    <phoneticPr fontId="5"/>
  </si>
  <si>
    <r>
      <t>証券化ｴｸｽﾎﾟｰｼﾞｬｰに係る</t>
    </r>
    <r>
      <rPr>
        <strike/>
        <sz val="10"/>
        <rFont val="ＭＳ ゴシック"/>
        <family val="3"/>
        <charset val="128"/>
      </rPr>
      <t xml:space="preserve">
</t>
    </r>
    <r>
      <rPr>
        <sz val="10"/>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5"/>
  </si>
  <si>
    <t>上記以外のｵﾌ･ﾊﾞﾗﾝｽの証券化ｴｸｽﾎﾟｰｼﾞｬｰ</t>
    <rPh sb="0" eb="2">
      <t>ジョウキ</t>
    </rPh>
    <rPh sb="2" eb="4">
      <t>イガイ</t>
    </rPh>
    <rPh sb="13" eb="16">
      <t>ショウケンカ</t>
    </rPh>
    <rPh sb="16" eb="24">
      <t>エクスポージャー</t>
    </rPh>
    <phoneticPr fontId="8"/>
  </si>
  <si>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5"/>
  </si>
  <si>
    <t>リスク・アセット　オンバランス明細</t>
    <rPh sb="15" eb="17">
      <t>メイサイ</t>
    </rPh>
    <phoneticPr fontId="5"/>
  </si>
  <si>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5"/>
  </si>
  <si>
    <t>a. 財務諸表</t>
    <rPh sb="3" eb="7">
      <t>ザイムショヒョウ</t>
    </rPh>
    <phoneticPr fontId="5"/>
  </si>
  <si>
    <t>科目</t>
    <rPh sb="0" eb="2">
      <t>カモク</t>
    </rPh>
    <phoneticPr fontId="5"/>
  </si>
  <si>
    <t>カウンターパーティ/資産名称</t>
    <rPh sb="10" eb="12">
      <t>シサン</t>
    </rPh>
    <rPh sb="12" eb="14">
      <t>メイショウ</t>
    </rPh>
    <phoneticPr fontId="5"/>
  </si>
  <si>
    <t>リスク資産項目</t>
    <rPh sb="3" eb="7">
      <t>シサンコウモク</t>
    </rPh>
    <phoneticPr fontId="5"/>
  </si>
  <si>
    <t>帳簿価額</t>
    <rPh sb="0" eb="2">
      <t>チョウボ</t>
    </rPh>
    <rPh sb="2" eb="4">
      <t>カガク</t>
    </rPh>
    <phoneticPr fontId="5"/>
  </si>
  <si>
    <t>リスクウェイト</t>
    <phoneticPr fontId="5"/>
  </si>
  <si>
    <t>リスクアセット額</t>
    <rPh sb="7" eb="8">
      <t>ガク</t>
    </rPh>
    <phoneticPr fontId="5"/>
  </si>
  <si>
    <t>財務諸表#</t>
    <rPh sb="0" eb="4">
      <t>ザイムショヒョウ</t>
    </rPh>
    <phoneticPr fontId="5"/>
  </si>
  <si>
    <t>科目＃</t>
    <rPh sb="0" eb="2">
      <t>カモク</t>
    </rPh>
    <phoneticPr fontId="5"/>
  </si>
  <si>
    <t>↑を挿入</t>
    <rPh sb="2" eb="4">
      <t>ソウニュウ</t>
    </rPh>
    <phoneticPr fontId="5"/>
  </si>
  <si>
    <t>b. 別途明細作成</t>
    <rPh sb="3" eb="5">
      <t>ベット</t>
    </rPh>
    <rPh sb="5" eb="7">
      <t>メイサイ</t>
    </rPh>
    <rPh sb="7" eb="9">
      <t>サクセイ</t>
    </rPh>
    <phoneticPr fontId="5"/>
  </si>
  <si>
    <t>#</t>
    <phoneticPr fontId="5"/>
  </si>
  <si>
    <t>宅建業の営業保証金</t>
  </si>
  <si>
    <t>差入保証金</t>
  </si>
  <si>
    <t>※列を追加、不動産について鑑定評価額で拾えるように修正（71列目に算定価額を手入力）</t>
    <rPh sb="1" eb="2">
      <t>レツ</t>
    </rPh>
    <rPh sb="3" eb="5">
      <t>ツイカ</t>
    </rPh>
    <rPh sb="6" eb="9">
      <t>フドウサン</t>
    </rPh>
    <rPh sb="13" eb="18">
      <t>カンテイヒョウカガク</t>
    </rPh>
    <rPh sb="19" eb="20">
      <t>ヒロ</t>
    </rPh>
    <rPh sb="25" eb="27">
      <t>シュウセイ</t>
    </rPh>
    <rPh sb="30" eb="32">
      <t>レツメ</t>
    </rPh>
    <rPh sb="33" eb="37">
      <t>サンテイカガク</t>
    </rPh>
    <rPh sb="38" eb="41">
      <t>テニュウリョク</t>
    </rPh>
    <phoneticPr fontId="5"/>
  </si>
  <si>
    <t>c. オンバランス外の資産</t>
    <rPh sb="9" eb="10">
      <t>ガイ</t>
    </rPh>
    <rPh sb="11" eb="13">
      <t>シサン</t>
    </rPh>
    <phoneticPr fontId="5"/>
  </si>
  <si>
    <t xml:space="preserve">d. 総資産額合計 (a+b+c) </t>
    <rPh sb="3" eb="7">
      <t>ソウシサンガク</t>
    </rPh>
    <rPh sb="7" eb="9">
      <t>ゴウケイ</t>
    </rPh>
    <phoneticPr fontId="5"/>
  </si>
  <si>
    <t>e. 不動産（鑑定評価額）</t>
    <rPh sb="3" eb="6">
      <t>フドウサン</t>
    </rPh>
    <rPh sb="7" eb="12">
      <t>カンテイヒョウカガク</t>
    </rPh>
    <phoneticPr fontId="5"/>
  </si>
  <si>
    <t>算定価額</t>
    <rPh sb="0" eb="4">
      <t>サンテイカガク</t>
    </rPh>
    <phoneticPr fontId="5"/>
  </si>
  <si>
    <t>不動産</t>
  </si>
  <si>
    <t>鑑定評価額から控除</t>
    <rPh sb="0" eb="4">
      <t>カンテイヒョウカ</t>
    </rPh>
    <rPh sb="4" eb="5">
      <t>ガク</t>
    </rPh>
    <rPh sb="7" eb="9">
      <t>コウジョ</t>
    </rPh>
    <phoneticPr fontId="5"/>
  </si>
  <si>
    <t>借地権</t>
  </si>
  <si>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5"/>
  </si>
  <si>
    <t>リスク・アセット　オフバランス明細</t>
    <rPh sb="15" eb="17">
      <t>メイサイ</t>
    </rPh>
    <phoneticPr fontId="5"/>
  </si>
  <si>
    <t>残存期間</t>
    <rPh sb="0" eb="2">
      <t>ザンゾン</t>
    </rPh>
    <rPh sb="2" eb="4">
      <t>キカン</t>
    </rPh>
    <phoneticPr fontId="5"/>
  </si>
  <si>
    <t>アドオン掛け目</t>
    <rPh sb="4" eb="5">
      <t>カ</t>
    </rPh>
    <rPh sb="6" eb="7">
      <t>メ</t>
    </rPh>
    <phoneticPr fontId="5"/>
  </si>
  <si>
    <t>科目</t>
  </si>
  <si>
    <t>リスク資産項目</t>
  </si>
  <si>
    <t>リスク・ウェイト</t>
  </si>
  <si>
    <t>リスクアセット額</t>
  </si>
  <si>
    <t>個別銘柄与信相当額</t>
    <rPh sb="0" eb="4">
      <t>コベツメイガラ</t>
    </rPh>
    <rPh sb="4" eb="6">
      <t>ヨシン</t>
    </rPh>
    <rPh sb="6" eb="9">
      <t>ソウトウガク</t>
    </rPh>
    <phoneticPr fontId="5"/>
  </si>
  <si>
    <t>期末日</t>
    <rPh sb="0" eb="3">
      <t>キマツビ</t>
    </rPh>
    <phoneticPr fontId="5"/>
  </si>
  <si>
    <t>取引終了日</t>
    <rPh sb="0" eb="2">
      <t>トリヒキ</t>
    </rPh>
    <rPh sb="2" eb="5">
      <t>シュウリョウビ</t>
    </rPh>
    <phoneticPr fontId="5"/>
  </si>
  <si>
    <t>再構築コスト</t>
    <rPh sb="0" eb="3">
      <t>サイコウチク</t>
    </rPh>
    <phoneticPr fontId="5"/>
  </si>
  <si>
    <t>科目＃</t>
  </si>
  <si>
    <t>残存期間</t>
    <rPh sb="0" eb="4">
      <t>ザンゾンキカン</t>
    </rPh>
    <phoneticPr fontId="5"/>
  </si>
  <si>
    <t>取引の区分</t>
    <rPh sb="0" eb="2">
      <t>トリヒキ</t>
    </rPh>
    <rPh sb="3" eb="5">
      <t>クブン</t>
    </rPh>
    <phoneticPr fontId="5"/>
  </si>
  <si>
    <t>残存期間の区分</t>
    <rPh sb="0" eb="2">
      <t>ザンゾン</t>
    </rPh>
    <rPh sb="2" eb="4">
      <t>キカン</t>
    </rPh>
    <rPh sb="5" eb="7">
      <t>クブン</t>
    </rPh>
    <phoneticPr fontId="5"/>
  </si>
  <si>
    <t>関数</t>
    <rPh sb="0" eb="2">
      <t>カンスウ</t>
    </rPh>
    <phoneticPr fontId="5"/>
  </si>
  <si>
    <t>掛け目</t>
    <rPh sb="0" eb="1">
      <t>カ</t>
    </rPh>
    <rPh sb="2" eb="3">
      <t>メ</t>
    </rPh>
    <phoneticPr fontId="5"/>
  </si>
  <si>
    <t>金利関連取引</t>
    <rPh sb="0" eb="6">
      <t>キンリカンレントリヒキ</t>
    </rPh>
    <phoneticPr fontId="5"/>
  </si>
  <si>
    <t>1年以内</t>
    <rPh sb="1" eb="2">
      <t>ネン</t>
    </rPh>
    <rPh sb="2" eb="4">
      <t>イナイ</t>
    </rPh>
    <phoneticPr fontId="5"/>
  </si>
  <si>
    <t>1年超5年以内</t>
    <rPh sb="1" eb="2">
      <t>ネン</t>
    </rPh>
    <rPh sb="2" eb="3">
      <t>チョウ</t>
    </rPh>
    <rPh sb="4" eb="5">
      <t>ネン</t>
    </rPh>
    <rPh sb="5" eb="7">
      <t>イナイ</t>
    </rPh>
    <phoneticPr fontId="5"/>
  </si>
  <si>
    <t>5年超</t>
    <rPh sb="1" eb="2">
      <t>ネン</t>
    </rPh>
    <rPh sb="2" eb="3">
      <t>チョウ</t>
    </rPh>
    <phoneticPr fontId="5"/>
  </si>
  <si>
    <t>外国為替関連取引及び金関連取引</t>
    <rPh sb="0" eb="4">
      <t>ガイコクカワセ</t>
    </rPh>
    <rPh sb="4" eb="6">
      <t>カンレン</t>
    </rPh>
    <rPh sb="6" eb="8">
      <t>トリヒキ</t>
    </rPh>
    <rPh sb="8" eb="9">
      <t>オヨ</t>
    </rPh>
    <rPh sb="10" eb="11">
      <t>キン</t>
    </rPh>
    <rPh sb="11" eb="13">
      <t>カンレン</t>
    </rPh>
    <rPh sb="13" eb="15">
      <t>トリヒキ</t>
    </rPh>
    <phoneticPr fontId="5"/>
  </si>
  <si>
    <t>↑を挿入</t>
  </si>
  <si>
    <t>コミットメント取引</t>
    <rPh sb="7" eb="9">
      <t>トリヒキ</t>
    </rPh>
    <phoneticPr fontId="5"/>
  </si>
  <si>
    <t/>
  </si>
  <si>
    <t>金融機関及び第一種金融商品取引業者及び保険会社向け</t>
  </si>
  <si>
    <t>上記以外（うち有形固定資産（不動産））</t>
  </si>
  <si>
    <t>法人等</t>
  </si>
  <si>
    <t>上記以外（うち上記以外のエクスポージャー）</t>
  </si>
  <si>
    <t>法人等向け（特定貸付債権向けを含む）</t>
  </si>
  <si>
    <t>短期（３ヶ月以内）円建て預金（BBB-格以上）</t>
  </si>
  <si>
    <t>上記以外（うち無形固定資産（借地権））</t>
  </si>
  <si>
    <t>欄外</t>
  </si>
  <si>
    <t>上記以外の無形固定資産等（自己資本調整項目）</t>
  </si>
  <si>
    <t>我が国の中央政府及び中央銀行向け</t>
  </si>
  <si>
    <t>A-格以上金融機関</t>
  </si>
  <si>
    <t>金利関連取引</t>
  </si>
  <si>
    <t>現金及び預金</t>
  </si>
  <si>
    <t>信託現金及び信託預金</t>
  </si>
  <si>
    <t>営業未収入金</t>
  </si>
  <si>
    <t>前払費用</t>
  </si>
  <si>
    <t>流動資産その他</t>
  </si>
  <si>
    <t>建物（純額）</t>
  </si>
  <si>
    <t>構築物（純額）</t>
  </si>
  <si>
    <t>機械及び装置（純額）</t>
  </si>
  <si>
    <t>工具、器具及び備品（純額）</t>
  </si>
  <si>
    <t>土地</t>
  </si>
  <si>
    <t>信託建物（純額）</t>
  </si>
  <si>
    <t>信託構築物（純額）</t>
  </si>
  <si>
    <t>信託機械及び装置（純額）</t>
  </si>
  <si>
    <t>信託工具、器具及び備品（純額）</t>
  </si>
  <si>
    <t>信託土地</t>
  </si>
  <si>
    <t>信託借地権</t>
  </si>
  <si>
    <t>無形固定資産その他</t>
  </si>
  <si>
    <t>長期前払費用</t>
  </si>
  <si>
    <t>修繕積立金</t>
  </si>
  <si>
    <t>投資口交付費</t>
  </si>
  <si>
    <t>投資法人債発行費</t>
  </si>
  <si>
    <t>A+格以上金融機関①</t>
    <rPh sb="2" eb="3">
      <t>カク</t>
    </rPh>
    <rPh sb="3" eb="5">
      <t>イジョウ</t>
    </rPh>
    <rPh sb="5" eb="9">
      <t>キンユウキカン</t>
    </rPh>
    <phoneticPr fontId="1"/>
  </si>
  <si>
    <t>AA格以上金融機関②</t>
  </si>
  <si>
    <t>AA-格以上金融機関③</t>
    <rPh sb="3" eb="4">
      <t>カク</t>
    </rPh>
    <rPh sb="4" eb="6">
      <t>イジョウ</t>
    </rPh>
    <rPh sb="6" eb="10">
      <t>キンユウキカン</t>
    </rPh>
    <phoneticPr fontId="1"/>
  </si>
  <si>
    <t>A+格以上金融機関④</t>
    <rPh sb="2" eb="3">
      <t>カク</t>
    </rPh>
    <rPh sb="3" eb="5">
      <t>イジョウ</t>
    </rPh>
    <rPh sb="5" eb="9">
      <t>キンユウキカン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</si>
</sst>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Red]\-#,##0.000"/>
    <numFmt numFmtId="178" formatCode="#,##0&quot;口&quot;"/>
    <numFmt numFmtId="179" formatCode="0.0%"/>
    <numFmt numFmtId="180" formatCode="#,##0.0"/>
  </numFmts>
  <fonts count="18" x14ac:knownFonts="1">
    <font>
      <sz val="11"/>
      <name val="ＭＳ Ｐゴシック"/>
      <family val="3"/>
      <charset val="128"/>
    </font>
    <font>
      <b/>
      <sz val="13"/>
      <color theme="3"/>
      <name val="游ゴシック"/>
      <family val="2"/>
      <charset val="128"/>
      <scheme val="minor"/>
    </font>
    <font>
      <sz val="11"/>
      <color theme="1"/>
      <name val="ＭＳ Ｐゴシック"/>
      <family val="2"/>
      <charset val="128"/>
    </font>
    <font>
      <b/>
      <sz val="16"/>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2"/>
      <name val="ＭＳ ゴシック"/>
      <family val="3"/>
      <charset val="128"/>
    </font>
    <font>
      <sz val="6"/>
      <name val="ＭＳ Ｐゴシック"/>
      <family val="2"/>
      <charset val="128"/>
    </font>
    <font>
      <sz val="10"/>
      <name val="ＭＳ Ｐゴシック"/>
      <family val="3"/>
      <charset val="128"/>
    </font>
    <font>
      <b/>
      <sz val="9"/>
      <color indexed="81"/>
      <name val="ＭＳ Ｐゴシック"/>
      <family val="3"/>
      <charset val="128"/>
    </font>
    <font>
      <sz val="11"/>
      <name val="ＭＳ Ｐゴシック"/>
      <family val="3"/>
      <charset val="128"/>
    </font>
    <font>
      <b/>
      <sz val="11"/>
      <color theme="3"/>
      <name val="ＭＳ 明朝"/>
      <family val="2"/>
      <charset val="128"/>
    </font>
    <font>
      <b/>
      <sz val="12"/>
      <name val="ＭＳ ゴシック"/>
      <family val="3"/>
      <charset val="128"/>
    </font>
    <font>
      <b/>
      <sz val="10"/>
      <name val="ＭＳ ゴシック"/>
      <family val="3"/>
      <charset val="128"/>
    </font>
    <font>
      <strike/>
      <sz val="10"/>
      <name val="ＭＳ ゴシック"/>
      <family val="3"/>
      <charset val="128"/>
    </font>
    <font>
      <b/>
      <u/>
      <sz val="11"/>
      <name val="ＭＳ Ｐゴシック"/>
      <family val="3"/>
      <charset val="128"/>
    </font>
    <font>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medium">
        <color indexed="64"/>
      </left>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1" fillId="0" borderId="0" applyFont="0" applyFill="0" applyBorder="0" applyAlignment="0" applyProtection="0">
      <alignment vertical="center"/>
    </xf>
    <xf numFmtId="0" fontId="2" fillId="0" borderId="0">
      <alignment vertical="center"/>
    </xf>
  </cellStyleXfs>
  <cellXfs count="180">
    <xf numFmtId="0" fontId="0" fillId="0" borderId="0" xfId="0"/>
    <xf numFmtId="0" fontId="3" fillId="2" borderId="0" xfId="2" applyFont="1" applyFill="1" applyAlignment="1">
      <alignment horizontal="centerContinuous" vertical="center"/>
    </xf>
    <xf numFmtId="0" fontId="6" fillId="2" borderId="0" xfId="2" applyFont="1" applyFill="1" applyAlignment="1">
      <alignment horizontal="centerContinuous" vertical="center"/>
    </xf>
    <xf numFmtId="9" fontId="6" fillId="2" borderId="0" xfId="2" applyNumberFormat="1" applyFont="1" applyFill="1" applyAlignment="1">
      <alignment horizontal="centerContinuous" vertical="center"/>
    </xf>
    <xf numFmtId="176" fontId="6" fillId="2" borderId="0" xfId="2" applyNumberFormat="1" applyFont="1" applyFill="1" applyAlignment="1">
      <alignment horizontal="centerContinuous" vertical="center"/>
    </xf>
    <xf numFmtId="177" fontId="6" fillId="2" borderId="0" xfId="2" applyNumberFormat="1" applyFont="1" applyFill="1" applyAlignment="1">
      <alignment horizontal="centerContinuous" vertical="center"/>
    </xf>
    <xf numFmtId="0" fontId="6" fillId="2" borderId="0" xfId="2" applyFont="1" applyFill="1">
      <alignment vertical="center"/>
    </xf>
    <xf numFmtId="0" fontId="6" fillId="3" borderId="0" xfId="2" applyFont="1" applyFill="1">
      <alignment vertical="center"/>
    </xf>
    <xf numFmtId="0" fontId="6" fillId="2" borderId="0" xfId="2" applyFont="1" applyFill="1" applyAlignment="1">
      <alignment horizontal="center" vertical="center"/>
    </xf>
    <xf numFmtId="3" fontId="6" fillId="2" borderId="0" xfId="2" applyNumberFormat="1" applyFont="1" applyFill="1">
      <alignment vertical="center"/>
    </xf>
    <xf numFmtId="9" fontId="6" fillId="2" borderId="0" xfId="2" applyNumberFormat="1" applyFont="1" applyFill="1">
      <alignment vertical="center"/>
    </xf>
    <xf numFmtId="176" fontId="6" fillId="2" borderId="0" xfId="2" applyNumberFormat="1" applyFont="1" applyFill="1">
      <alignment vertical="center"/>
    </xf>
    <xf numFmtId="9" fontId="6" fillId="2" borderId="0" xfId="2" applyNumberFormat="1" applyFont="1" applyFill="1" applyAlignment="1">
      <alignment horizontal="center" vertical="center"/>
    </xf>
    <xf numFmtId="0" fontId="7" fillId="2" borderId="0" xfId="2" applyFont="1" applyFill="1" applyAlignment="1">
      <alignment horizontal="center" vertical="center"/>
    </xf>
    <xf numFmtId="0" fontId="7" fillId="2" borderId="0" xfId="2" applyFont="1" applyFill="1">
      <alignment vertical="center"/>
    </xf>
    <xf numFmtId="3" fontId="7" fillId="2" borderId="0" xfId="2" applyNumberFormat="1" applyFont="1" applyFill="1">
      <alignment vertical="center"/>
    </xf>
    <xf numFmtId="0" fontId="6" fillId="2" borderId="1" xfId="2" applyFont="1" applyFill="1" applyBorder="1" applyAlignment="1">
      <alignment horizontal="center" vertical="center"/>
    </xf>
    <xf numFmtId="0" fontId="7" fillId="4" borderId="2" xfId="2" applyFont="1" applyFill="1" applyBorder="1" applyAlignment="1" applyProtection="1">
      <alignment vertical="center" shrinkToFit="1"/>
      <protection locked="0"/>
    </xf>
    <xf numFmtId="0" fontId="7" fillId="4" borderId="3" xfId="2" applyFont="1" applyFill="1" applyBorder="1" applyAlignment="1" applyProtection="1">
      <alignment vertical="center" shrinkToFit="1"/>
      <protection locked="0"/>
    </xf>
    <xf numFmtId="0" fontId="7" fillId="4" borderId="4" xfId="2" applyFont="1" applyFill="1" applyBorder="1" applyAlignment="1" applyProtection="1">
      <alignment vertical="center" shrinkToFit="1"/>
      <protection locked="0"/>
    </xf>
    <xf numFmtId="0" fontId="6" fillId="2" borderId="5" xfId="2" applyFont="1" applyFill="1" applyBorder="1" applyAlignment="1">
      <alignment horizontal="center" vertical="center"/>
    </xf>
    <xf numFmtId="0" fontId="7" fillId="4" borderId="6" xfId="2" applyFont="1" applyFill="1" applyBorder="1" applyAlignment="1" applyProtection="1">
      <alignment vertical="center" shrinkToFit="1"/>
      <protection locked="0"/>
    </xf>
    <xf numFmtId="0" fontId="7" fillId="4" borderId="0" xfId="2" applyFont="1" applyFill="1" applyAlignment="1" applyProtection="1">
      <alignment vertical="center" shrinkToFit="1"/>
      <protection locked="0"/>
    </xf>
    <xf numFmtId="0" fontId="7" fillId="4" borderId="7" xfId="2" applyFont="1" applyFill="1" applyBorder="1" applyAlignment="1" applyProtection="1">
      <alignment vertical="center" shrinkToFit="1"/>
      <protection locked="0"/>
    </xf>
    <xf numFmtId="0" fontId="6" fillId="2" borderId="8" xfId="2" applyFont="1" applyFill="1" applyBorder="1" applyAlignment="1">
      <alignment horizontal="center" vertical="center"/>
    </xf>
    <xf numFmtId="14" fontId="6" fillId="4" borderId="9" xfId="2" applyNumberFormat="1" applyFont="1" applyFill="1" applyBorder="1" applyAlignment="1" applyProtection="1">
      <alignment vertical="center" shrinkToFit="1"/>
      <protection locked="0"/>
    </xf>
    <xf numFmtId="0" fontId="6" fillId="4" borderId="10" xfId="2" applyFont="1" applyFill="1" applyBorder="1" applyAlignment="1" applyProtection="1">
      <alignment vertical="center" shrinkToFit="1"/>
      <protection locked="0"/>
    </xf>
    <xf numFmtId="0" fontId="6" fillId="4" borderId="11" xfId="2" applyFont="1" applyFill="1" applyBorder="1" applyAlignment="1" applyProtection="1">
      <alignment vertical="center" shrinkToFit="1"/>
      <protection locked="0"/>
    </xf>
    <xf numFmtId="0" fontId="6" fillId="0" borderId="0" xfId="2" applyFont="1">
      <alignment vertical="center"/>
    </xf>
    <xf numFmtId="9" fontId="6" fillId="0" borderId="0" xfId="2" applyNumberFormat="1" applyFont="1">
      <alignment vertical="center"/>
    </xf>
    <xf numFmtId="9" fontId="6" fillId="0" borderId="0" xfId="2" applyNumberFormat="1" applyFont="1" applyAlignment="1">
      <alignment horizontal="center" vertical="center"/>
    </xf>
    <xf numFmtId="0" fontId="7" fillId="0" borderId="0" xfId="2" applyFont="1" applyAlignment="1">
      <alignment horizontal="center" vertical="center"/>
    </xf>
    <xf numFmtId="0" fontId="7" fillId="0" borderId="0" xfId="2" applyFont="1">
      <alignment vertical="center"/>
    </xf>
    <xf numFmtId="176" fontId="6" fillId="0" borderId="0" xfId="2" applyNumberFormat="1" applyFont="1" applyAlignment="1">
      <alignment horizontal="right" vertical="center"/>
    </xf>
    <xf numFmtId="177" fontId="6" fillId="0" borderId="0" xfId="2" applyNumberFormat="1" applyFont="1" applyAlignment="1">
      <alignment horizontal="right"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9" fillId="0" borderId="14" xfId="2" applyFont="1" applyBorder="1">
      <alignment vertical="center"/>
    </xf>
    <xf numFmtId="0" fontId="6" fillId="0" borderId="15" xfId="2" applyFont="1" applyBorder="1" applyAlignment="1">
      <alignment horizontal="center" vertical="center" wrapText="1"/>
    </xf>
    <xf numFmtId="9" fontId="6" fillId="0" borderId="16" xfId="2" applyNumberFormat="1" applyFont="1" applyBorder="1" applyAlignment="1">
      <alignment horizontal="centerContinuous" vertical="center" wrapText="1"/>
    </xf>
    <xf numFmtId="0" fontId="6" fillId="0" borderId="3" xfId="2" applyFont="1" applyBorder="1" applyAlignment="1">
      <alignment horizontal="centerContinuous" vertical="center" wrapText="1"/>
    </xf>
    <xf numFmtId="0" fontId="6" fillId="0" borderId="4" xfId="2" applyFont="1" applyBorder="1" applyAlignment="1">
      <alignment horizontal="centerContinuous" vertical="center"/>
    </xf>
    <xf numFmtId="0" fontId="6" fillId="0" borderId="0" xfId="2" applyFont="1" applyAlignment="1">
      <alignment horizontal="center" vertical="center"/>
    </xf>
    <xf numFmtId="0" fontId="6" fillId="0" borderId="17" xfId="2" applyFont="1" applyBorder="1" applyAlignment="1">
      <alignment horizontal="center" vertical="center" wrapText="1"/>
    </xf>
    <xf numFmtId="0" fontId="9" fillId="0" borderId="18" xfId="2" applyFont="1" applyBorder="1">
      <alignment vertical="center"/>
    </xf>
    <xf numFmtId="0" fontId="9" fillId="0" borderId="19" xfId="2" applyFont="1" applyBorder="1">
      <alignment vertical="center"/>
    </xf>
    <xf numFmtId="0" fontId="6" fillId="0" borderId="20" xfId="2" applyFont="1" applyBorder="1" applyAlignment="1">
      <alignment horizontal="center" vertical="center" wrapText="1"/>
    </xf>
    <xf numFmtId="9" fontId="6" fillId="0" borderId="21" xfId="2" applyNumberFormat="1" applyFont="1" applyBorder="1" applyAlignment="1">
      <alignment horizontal="center" vertical="center" wrapText="1"/>
    </xf>
    <xf numFmtId="49" fontId="6" fillId="0" borderId="22" xfId="2" applyNumberFormat="1" applyFont="1" applyBorder="1" applyAlignment="1">
      <alignment horizontal="center" vertical="center" wrapText="1"/>
    </xf>
    <xf numFmtId="49" fontId="6" fillId="0" borderId="20" xfId="2" applyNumberFormat="1"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9" fontId="6" fillId="0" borderId="27" xfId="2" applyNumberFormat="1" applyFont="1" applyBorder="1" applyAlignment="1">
      <alignment horizontal="right" vertical="center" shrinkToFit="1"/>
    </xf>
    <xf numFmtId="38" fontId="6" fillId="0" borderId="28" xfId="2" applyNumberFormat="1" applyFont="1" applyBorder="1" applyAlignment="1">
      <alignment vertical="center" shrinkToFit="1"/>
    </xf>
    <xf numFmtId="38" fontId="6" fillId="0" borderId="29" xfId="2" applyNumberFormat="1" applyFont="1" applyBorder="1" applyAlignment="1">
      <alignment vertical="center" shrinkToFit="1"/>
    </xf>
    <xf numFmtId="0" fontId="6" fillId="0" borderId="30" xfId="0" applyFont="1" applyBorder="1" applyAlignment="1">
      <alignment horizontal="center" vertical="center"/>
    </xf>
    <xf numFmtId="0" fontId="6" fillId="0" borderId="31" xfId="0" applyFont="1" applyBorder="1" applyAlignme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38" fontId="6" fillId="0" borderId="34" xfId="2" applyNumberFormat="1" applyFont="1" applyBorder="1" applyAlignment="1">
      <alignment vertical="center" shrinkToFit="1"/>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6" fillId="0" borderId="33" xfId="2" applyNumberFormat="1" applyFont="1" applyBorder="1" applyAlignment="1">
      <alignment vertical="center" shrinkToFit="1"/>
    </xf>
    <xf numFmtId="0" fontId="6" fillId="0" borderId="37"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6" xfId="0" applyFont="1" applyBorder="1" applyAlignment="1">
      <alignment vertical="center"/>
    </xf>
    <xf numFmtId="0" fontId="6" fillId="0" borderId="37" xfId="0" applyFont="1" applyBorder="1" applyAlignment="1">
      <alignment horizontal="left" vertical="center" wrapText="1"/>
    </xf>
    <xf numFmtId="0" fontId="6" fillId="0" borderId="31" xfId="0" applyFont="1" applyBorder="1" applyAlignment="1">
      <alignment horizontal="left" vertical="center" wrapText="1"/>
    </xf>
    <xf numFmtId="38" fontId="6" fillId="0" borderId="38" xfId="2" applyNumberFormat="1" applyFont="1" applyBorder="1" applyAlignment="1">
      <alignment vertical="center" shrinkToFit="1"/>
    </xf>
    <xf numFmtId="38" fontId="6" fillId="0" borderId="39" xfId="2" applyNumberFormat="1" applyFont="1" applyBorder="1" applyAlignment="1">
      <alignment vertical="center" shrinkToFit="1"/>
    </xf>
    <xf numFmtId="0" fontId="6" fillId="0" borderId="40" xfId="0" applyFont="1" applyBorder="1" applyAlignment="1">
      <alignment vertical="center"/>
    </xf>
    <xf numFmtId="0" fontId="6" fillId="0" borderId="35" xfId="2" applyFont="1" applyBorder="1" applyAlignment="1">
      <alignment horizontal="center" vertical="center"/>
    </xf>
    <xf numFmtId="0" fontId="6" fillId="0" borderId="37" xfId="2" applyFont="1" applyBorder="1" applyAlignment="1">
      <alignment horizontal="left" vertical="center"/>
    </xf>
    <xf numFmtId="0" fontId="6" fillId="0" borderId="31" xfId="2" applyFont="1" applyBorder="1" applyAlignment="1">
      <alignment horizontal="left" vertical="center"/>
    </xf>
    <xf numFmtId="0" fontId="6" fillId="0" borderId="32" xfId="2" applyFont="1" applyBorder="1" applyAlignment="1">
      <alignment horizontal="left" vertical="center"/>
    </xf>
    <xf numFmtId="38" fontId="6" fillId="0" borderId="41" xfId="2" applyNumberFormat="1" applyFont="1" applyBorder="1" applyAlignment="1">
      <alignment vertical="center" shrinkToFit="1"/>
    </xf>
    <xf numFmtId="38" fontId="6" fillId="0" borderId="42" xfId="2" applyNumberFormat="1" applyFont="1" applyBorder="1" applyAlignment="1">
      <alignment vertical="center" shrinkToFit="1"/>
    </xf>
    <xf numFmtId="0" fontId="6" fillId="0" borderId="34" xfId="2" applyFont="1" applyBorder="1" applyAlignment="1">
      <alignment horizontal="center" vertical="center"/>
    </xf>
    <xf numFmtId="0" fontId="6" fillId="0" borderId="43" xfId="2" applyFont="1" applyBorder="1" applyAlignment="1">
      <alignment vertical="center" shrinkToFit="1"/>
    </xf>
    <xf numFmtId="0" fontId="6" fillId="0" borderId="44" xfId="2" applyFont="1" applyBorder="1" applyAlignment="1">
      <alignment vertical="center" shrinkToFit="1"/>
    </xf>
    <xf numFmtId="0" fontId="6" fillId="0" borderId="45" xfId="2" applyFont="1" applyBorder="1" applyAlignment="1">
      <alignment vertical="center" shrinkToFit="1"/>
    </xf>
    <xf numFmtId="0" fontId="6" fillId="0" borderId="38" xfId="2" applyFont="1" applyBorder="1" applyAlignment="1">
      <alignment horizontal="center" vertical="center" wrapText="1"/>
    </xf>
    <xf numFmtId="0" fontId="6" fillId="0" borderId="46" xfId="2" applyFont="1" applyBorder="1" applyAlignment="1">
      <alignment horizontal="center" vertical="center"/>
    </xf>
    <xf numFmtId="0" fontId="6" fillId="0" borderId="46" xfId="2" applyFont="1" applyBorder="1">
      <alignment vertical="center"/>
    </xf>
    <xf numFmtId="0" fontId="6" fillId="0" borderId="47" xfId="2" applyFont="1" applyBorder="1">
      <alignment vertical="center"/>
    </xf>
    <xf numFmtId="0" fontId="6" fillId="0" borderId="48" xfId="2" applyFont="1" applyBorder="1" applyAlignment="1">
      <alignment horizontal="left" vertical="center"/>
    </xf>
    <xf numFmtId="9" fontId="6" fillId="0" borderId="49" xfId="2" applyNumberFormat="1" applyFont="1" applyBorder="1" applyAlignment="1">
      <alignment horizontal="right" vertical="center"/>
    </xf>
    <xf numFmtId="38" fontId="6" fillId="0" borderId="50" xfId="2" applyNumberFormat="1" applyFont="1" applyBorder="1" applyAlignment="1">
      <alignment vertical="center" shrinkToFit="1"/>
    </xf>
    <xf numFmtId="38" fontId="6" fillId="0" borderId="48" xfId="2" applyNumberFormat="1" applyFont="1" applyBorder="1" applyAlignment="1">
      <alignment vertical="center" shrinkToFit="1"/>
    </xf>
    <xf numFmtId="0" fontId="6" fillId="0" borderId="0" xfId="2" applyFont="1" applyAlignment="1">
      <alignment horizontal="left" vertical="center"/>
    </xf>
    <xf numFmtId="38" fontId="6" fillId="0" borderId="0" xfId="2" applyNumberFormat="1" applyFont="1">
      <alignment vertical="center"/>
    </xf>
    <xf numFmtId="0" fontId="6" fillId="0" borderId="7" xfId="0" applyFont="1" applyBorder="1" applyAlignment="1">
      <alignment vertical="center"/>
    </xf>
    <xf numFmtId="0" fontId="6" fillId="0" borderId="51" xfId="0" applyFont="1" applyBorder="1" applyAlignment="1">
      <alignment horizontal="left" vertical="center" wrapText="1" indent="2"/>
    </xf>
    <xf numFmtId="0" fontId="6" fillId="0" borderId="52" xfId="0" applyFont="1" applyBorder="1" applyAlignment="1">
      <alignment horizontal="left" vertical="center" wrapText="1" indent="2"/>
    </xf>
    <xf numFmtId="0" fontId="13" fillId="0" borderId="53" xfId="0" applyFont="1" applyBorder="1" applyAlignment="1">
      <alignment horizontal="center" vertical="center"/>
    </xf>
    <xf numFmtId="9" fontId="13" fillId="0" borderId="54" xfId="2" applyNumberFormat="1" applyFont="1" applyBorder="1" applyAlignment="1">
      <alignment horizontal="right" vertical="center" shrinkToFit="1"/>
    </xf>
    <xf numFmtId="38" fontId="6" fillId="0" borderId="53" xfId="2" applyNumberFormat="1" applyFont="1" applyBorder="1" applyAlignment="1">
      <alignment vertical="center" shrinkToFit="1"/>
    </xf>
    <xf numFmtId="38" fontId="13" fillId="0" borderId="55" xfId="2" applyNumberFormat="1" applyFont="1" applyBorder="1" applyAlignment="1">
      <alignment horizontal="right" vertical="center" shrinkToFit="1"/>
    </xf>
    <xf numFmtId="0" fontId="6" fillId="0" borderId="53" xfId="0" applyFont="1" applyBorder="1" applyAlignment="1">
      <alignment horizontal="center" vertical="center"/>
    </xf>
    <xf numFmtId="9" fontId="6" fillId="0" borderId="54" xfId="2" applyNumberFormat="1" applyFont="1" applyBorder="1" applyAlignment="1">
      <alignment horizontal="right" vertical="center" shrinkToFit="1"/>
    </xf>
    <xf numFmtId="38" fontId="6" fillId="0" borderId="55" xfId="2" applyNumberFormat="1" applyFont="1" applyBorder="1" applyAlignment="1">
      <alignment horizontal="right" vertical="center" shrinkToFit="1"/>
    </xf>
    <xf numFmtId="38" fontId="6" fillId="0" borderId="0" xfId="2" applyNumberFormat="1" applyFont="1" applyAlignment="1">
      <alignment horizontal="right" vertical="center"/>
    </xf>
    <xf numFmtId="0" fontId="6" fillId="0" borderId="56" xfId="2" applyFont="1" applyBorder="1" applyAlignment="1">
      <alignment horizontal="left" vertical="center"/>
    </xf>
    <xf numFmtId="38" fontId="6" fillId="0" borderId="32" xfId="2" applyNumberFormat="1" applyFont="1" applyBorder="1">
      <alignment vertical="center"/>
    </xf>
    <xf numFmtId="38" fontId="6" fillId="2" borderId="0" xfId="2" applyNumberFormat="1" applyFont="1" applyFill="1">
      <alignment vertical="center"/>
    </xf>
    <xf numFmtId="0" fontId="13" fillId="0" borderId="0" xfId="2" applyFont="1" applyAlignment="1">
      <alignment horizontal="left" vertical="center"/>
    </xf>
    <xf numFmtId="0" fontId="13" fillId="0" borderId="56" xfId="2" applyFont="1" applyBorder="1" applyAlignment="1">
      <alignment horizontal="left" vertical="center"/>
    </xf>
    <xf numFmtId="9" fontId="13" fillId="0" borderId="32" xfId="2" applyNumberFormat="1" applyFont="1" applyBorder="1">
      <alignment vertical="center"/>
    </xf>
    <xf numFmtId="38" fontId="6" fillId="0" borderId="0" xfId="2" applyNumberFormat="1" applyFont="1" applyAlignment="1">
      <alignment horizontal="right"/>
    </xf>
    <xf numFmtId="178" fontId="6" fillId="4" borderId="32" xfId="2" applyNumberFormat="1" applyFont="1" applyFill="1" applyBorder="1">
      <alignment vertical="center"/>
    </xf>
    <xf numFmtId="38" fontId="14" fillId="0" borderId="32" xfId="2" applyNumberFormat="1" applyFont="1" applyBorder="1">
      <alignment vertical="center"/>
    </xf>
    <xf numFmtId="0" fontId="6" fillId="2" borderId="0" xfId="2" applyFont="1" applyFill="1" applyAlignment="1">
      <alignment vertical="top" wrapText="1"/>
    </xf>
    <xf numFmtId="0" fontId="6" fillId="0" borderId="0" xfId="2" applyFont="1" applyAlignment="1">
      <alignment horizontal="left" vertical="top" wrapText="1"/>
    </xf>
    <xf numFmtId="176" fontId="6" fillId="0" borderId="0" xfId="2" applyNumberFormat="1" applyFont="1">
      <alignment vertical="center"/>
    </xf>
    <xf numFmtId="177" fontId="6" fillId="0" borderId="0" xfId="2" applyNumberFormat="1" applyFont="1">
      <alignment vertical="center"/>
    </xf>
    <xf numFmtId="177" fontId="6" fillId="2" borderId="0" xfId="2" applyNumberFormat="1" applyFont="1" applyFill="1">
      <alignment vertical="center"/>
    </xf>
    <xf numFmtId="0" fontId="3" fillId="0" borderId="0" xfId="2" applyFont="1" applyAlignment="1">
      <alignment horizontal="centerContinuous" vertical="center"/>
    </xf>
    <xf numFmtId="0" fontId="6" fillId="0" borderId="0" xfId="2" applyFont="1" applyAlignment="1">
      <alignment horizontal="centerContinuous" vertical="center"/>
    </xf>
    <xf numFmtId="9" fontId="6" fillId="0" borderId="0" xfId="2" applyNumberFormat="1" applyFont="1" applyAlignment="1">
      <alignment horizontal="centerContinuous" vertical="center"/>
    </xf>
    <xf numFmtId="177" fontId="6" fillId="0" borderId="0" xfId="2" applyNumberFormat="1" applyFont="1" applyAlignment="1">
      <alignment horizontal="centerContinuous" vertical="center"/>
    </xf>
    <xf numFmtId="0" fontId="6" fillId="0" borderId="1" xfId="2" applyFont="1" applyBorder="1" applyAlignment="1">
      <alignment horizontal="center" vertical="center"/>
    </xf>
    <xf numFmtId="0" fontId="7" fillId="0" borderId="2" xfId="2" applyFont="1" applyBorder="1" applyAlignment="1" applyProtection="1">
      <alignment vertical="center" shrinkToFit="1"/>
      <protection locked="0"/>
    </xf>
    <xf numFmtId="0" fontId="7" fillId="0" borderId="3" xfId="2" applyFont="1" applyBorder="1" applyAlignment="1" applyProtection="1">
      <alignment vertical="center" shrinkToFit="1"/>
      <protection locked="0"/>
    </xf>
    <xf numFmtId="0" fontId="7" fillId="0" borderId="4" xfId="2" applyFont="1" applyBorder="1" applyAlignment="1" applyProtection="1">
      <alignment vertical="center" shrinkToFit="1"/>
      <protection locked="0"/>
    </xf>
    <xf numFmtId="0" fontId="6" fillId="0" borderId="8" xfId="2" applyFont="1" applyBorder="1" applyAlignment="1">
      <alignment horizontal="center" vertical="center"/>
    </xf>
    <xf numFmtId="14" fontId="7" fillId="0" borderId="2" xfId="2" applyNumberFormat="1" applyFont="1" applyBorder="1" applyAlignment="1" applyProtection="1">
      <alignment vertical="center" shrinkToFit="1"/>
      <protection locked="0"/>
    </xf>
    <xf numFmtId="14" fontId="7" fillId="0" borderId="3" xfId="2" applyNumberFormat="1" applyFont="1" applyBorder="1" applyAlignment="1" applyProtection="1">
      <alignment vertical="center" shrinkToFit="1"/>
      <protection locked="0"/>
    </xf>
    <xf numFmtId="14" fontId="7" fillId="0" borderId="4" xfId="2" applyNumberFormat="1" applyFont="1" applyBorder="1" applyAlignment="1" applyProtection="1">
      <alignment vertical="center" shrinkToFit="1"/>
      <protection locked="0"/>
    </xf>
    <xf numFmtId="49" fontId="6" fillId="0" borderId="57" xfId="2" applyNumberFormat="1" applyFont="1" applyBorder="1" applyAlignment="1">
      <alignment horizontal="center" vertical="center" wrapText="1"/>
    </xf>
    <xf numFmtId="0" fontId="6" fillId="0" borderId="58"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38" fontId="6" fillId="0" borderId="59" xfId="2" applyNumberFormat="1" applyFont="1" applyBorder="1" applyAlignment="1">
      <alignment vertical="center" shrinkToFit="1"/>
    </xf>
    <xf numFmtId="3" fontId="6" fillId="0" borderId="30" xfId="0" quotePrefix="1" applyNumberFormat="1" applyFont="1" applyBorder="1" applyAlignment="1">
      <alignment horizontal="center" vertical="center"/>
    </xf>
    <xf numFmtId="0" fontId="6" fillId="0" borderId="32" xfId="0" applyFont="1" applyBorder="1" applyAlignment="1">
      <alignment horizontal="left" vertical="center" wrapText="1"/>
    </xf>
    <xf numFmtId="56" fontId="6" fillId="0" borderId="30" xfId="0" quotePrefix="1" applyNumberFormat="1" applyFont="1" applyBorder="1" applyAlignment="1">
      <alignment horizontal="center" vertical="center"/>
    </xf>
    <xf numFmtId="0" fontId="6" fillId="0" borderId="0" xfId="2" applyFont="1" applyAlignment="1">
      <alignment vertical="top" wrapText="1"/>
    </xf>
    <xf numFmtId="0" fontId="6" fillId="0" borderId="0" xfId="2" applyFont="1" applyAlignment="1">
      <alignment horizontal="left" vertical="top" wrapText="1"/>
    </xf>
    <xf numFmtId="0" fontId="11" fillId="0" borderId="0" xfId="0" applyFont="1" applyAlignment="1">
      <alignment vertical="center"/>
    </xf>
    <xf numFmtId="0" fontId="11" fillId="2" borderId="0" xfId="0" applyFont="1" applyFill="1" applyAlignment="1">
      <alignment vertical="center"/>
    </xf>
    <xf numFmtId="0" fontId="16" fillId="0" borderId="0" xfId="0" applyFont="1" applyAlignment="1">
      <alignment vertical="center"/>
    </xf>
    <xf numFmtId="0" fontId="11" fillId="4" borderId="0" xfId="0" applyFont="1" applyFill="1" applyAlignment="1">
      <alignment vertical="center"/>
    </xf>
    <xf numFmtId="0" fontId="17" fillId="0" borderId="0" xfId="0" applyFont="1" applyAlignment="1">
      <alignment vertical="center"/>
    </xf>
    <xf numFmtId="0" fontId="11" fillId="0" borderId="0" xfId="0" applyFont="1" applyAlignment="1">
      <alignment horizontal="right" vertical="center"/>
    </xf>
    <xf numFmtId="0" fontId="11" fillId="5" borderId="0" xfId="0" applyFont="1" applyFill="1" applyAlignment="1">
      <alignment horizontal="center" vertical="center"/>
    </xf>
    <xf numFmtId="0" fontId="11" fillId="5" borderId="0" xfId="0" applyFont="1" applyFill="1" applyAlignment="1">
      <alignment vertical="center"/>
    </xf>
    <xf numFmtId="3" fontId="11" fillId="0" borderId="0" xfId="0" applyNumberFormat="1" applyFont="1" applyAlignment="1">
      <alignment vertical="center"/>
    </xf>
    <xf numFmtId="9" fontId="11" fillId="0" borderId="0" xfId="0" applyNumberFormat="1" applyFont="1" applyAlignment="1">
      <alignment horizontal="right" vertical="center"/>
    </xf>
    <xf numFmtId="3" fontId="11" fillId="0" borderId="0" xfId="0" applyNumberFormat="1" applyFont="1" applyAlignment="1">
      <alignment horizontal="right" vertical="center"/>
    </xf>
    <xf numFmtId="0" fontId="11" fillId="6" borderId="0" xfId="0" applyFont="1" applyFill="1" applyAlignment="1">
      <alignment vertical="center"/>
    </xf>
    <xf numFmtId="0" fontId="11" fillId="6" borderId="0" xfId="0" applyFont="1" applyFill="1" applyAlignment="1">
      <alignment horizontal="left" vertical="center"/>
    </xf>
    <xf numFmtId="3" fontId="11" fillId="6" borderId="0" xfId="0" applyNumberFormat="1" applyFont="1" applyFill="1" applyAlignment="1">
      <alignment vertical="center"/>
    </xf>
    <xf numFmtId="9" fontId="11" fillId="6" borderId="0" xfId="0" applyNumberFormat="1" applyFont="1" applyFill="1" applyAlignment="1">
      <alignment vertical="center"/>
    </xf>
    <xf numFmtId="9" fontId="11" fillId="0" borderId="0" xfId="0" applyNumberFormat="1" applyFont="1" applyAlignment="1">
      <alignment vertical="center"/>
    </xf>
    <xf numFmtId="3" fontId="11" fillId="4" borderId="0" xfId="0" applyNumberFormat="1" applyFont="1" applyFill="1" applyAlignment="1">
      <alignment vertical="center"/>
    </xf>
    <xf numFmtId="3" fontId="11" fillId="2" borderId="0" xfId="0" applyNumberFormat="1" applyFont="1" applyFill="1" applyAlignment="1">
      <alignment vertical="center"/>
    </xf>
    <xf numFmtId="9" fontId="11" fillId="2" borderId="0" xfId="0" applyNumberFormat="1" applyFont="1" applyFill="1" applyAlignment="1">
      <alignment vertical="center"/>
    </xf>
    <xf numFmtId="0" fontId="11" fillId="2" borderId="0" xfId="0" applyFont="1" applyFill="1" applyAlignment="1">
      <alignment horizontal="right" vertical="center"/>
    </xf>
    <xf numFmtId="9" fontId="11" fillId="2" borderId="0" xfId="0" applyNumberFormat="1" applyFont="1" applyFill="1" applyAlignment="1">
      <alignment horizontal="right" vertical="center"/>
    </xf>
    <xf numFmtId="0" fontId="11" fillId="2" borderId="0" xfId="0" applyFont="1" applyFill="1"/>
    <xf numFmtId="0" fontId="11" fillId="0" borderId="0" xfId="0" applyFont="1"/>
    <xf numFmtId="177" fontId="6" fillId="2" borderId="0" xfId="2" applyNumberFormat="1" applyFont="1" applyFill="1" applyAlignment="1">
      <alignment horizontal="right" vertical="center"/>
    </xf>
    <xf numFmtId="0" fontId="9" fillId="4" borderId="0" xfId="0" applyFont="1" applyFill="1" applyAlignment="1">
      <alignment horizontal="left" vertical="center"/>
    </xf>
    <xf numFmtId="14" fontId="11" fillId="0" borderId="0" xfId="0" applyNumberFormat="1" applyFont="1" applyAlignment="1">
      <alignment vertical="center"/>
    </xf>
    <xf numFmtId="14" fontId="11" fillId="4" borderId="0" xfId="0" applyNumberFormat="1" applyFont="1" applyFill="1" applyAlignment="1">
      <alignment vertical="center"/>
    </xf>
    <xf numFmtId="179" fontId="11" fillId="0" borderId="0" xfId="1" applyNumberFormat="1" applyFont="1" applyFill="1" applyAlignment="1">
      <alignment vertical="center"/>
    </xf>
    <xf numFmtId="180" fontId="11" fillId="2" borderId="0" xfId="0" applyNumberFormat="1" applyFont="1" applyFill="1" applyAlignment="1">
      <alignment vertical="center"/>
    </xf>
    <xf numFmtId="179" fontId="11" fillId="2" borderId="0" xfId="0" applyNumberFormat="1" applyFont="1" applyFill="1"/>
    <xf numFmtId="0" fontId="11" fillId="2" borderId="60" xfId="0" applyFont="1" applyFill="1" applyBorder="1" applyAlignment="1">
      <alignment vertical="center"/>
    </xf>
    <xf numFmtId="0" fontId="11" fillId="2" borderId="60" xfId="0" applyFont="1" applyFill="1" applyBorder="1"/>
    <xf numFmtId="179" fontId="11" fillId="2" borderId="60" xfId="0" applyNumberFormat="1" applyFont="1" applyFill="1" applyBorder="1"/>
    <xf numFmtId="0" fontId="11" fillId="4" borderId="0" xfId="0" applyFont="1" applyFill="1" applyAlignment="1">
      <alignment horizontal="left" vertical="center"/>
    </xf>
    <xf numFmtId="3" fontId="11" fillId="0" borderId="0" xfId="0" applyNumberFormat="1" applyFont="1"/>
    <xf numFmtId="179" fontId="11" fillId="0" borderId="0" xfId="1" applyNumberFormat="1" applyFont="1" applyFill="1" applyAlignment="1"/>
    <xf numFmtId="14" fontId="11" fillId="0" borderId="0" xfId="0" applyNumberFormat="1" applyFont="1"/>
    <xf numFmtId="3" fontId="11" fillId="2" borderId="0" xfId="0" applyNumberFormat="1" applyFont="1" applyFill="1"/>
  </cellXfs>
  <cellStyles count="3">
    <cellStyle name="パーセント" xfId="1" builtinId="5"/>
    <cellStyle name="標準" xfId="0" builtinId="0"/>
    <cellStyle name="標準 2" xfId="2" xr:uid="{D3EB26AE-6971-41FE-AECB-55F7CB597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558800</xdr:colOff>
          <xdr:row>0</xdr:row>
          <xdr:rowOff>38100</xdr:rowOff>
        </xdr:to>
        <xdr:sp macro="" textlink="">
          <xdr:nvSpPr>
            <xdr:cNvPr id="1025" name="unitList" hidden="1">
              <a:extLst>
                <a:ext uri="{63B3BB69-23CF-44E3-9099-C40C66FF867C}">
                  <a14:compatExt spid="_x0000_s1025"/>
                </a:ext>
                <a:ext uri="{FF2B5EF4-FFF2-40B4-BE49-F238E27FC236}">
                  <a16:creationId xmlns:a16="http://schemas.microsoft.com/office/drawing/2014/main" id="{2228B4DC-AA02-43CD-AC30-ADEF9546B6C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0</xdr:row>
          <xdr:rowOff>0</xdr:rowOff>
        </xdr:from>
        <xdr:to>
          <xdr:col>2</xdr:col>
          <xdr:colOff>557530</xdr:colOff>
          <xdr:row>0</xdr:row>
          <xdr:rowOff>38100</xdr:rowOff>
        </xdr:to>
        <xdr:sp macro="" textlink="">
          <xdr:nvSpPr>
            <xdr:cNvPr id="2049" name="unitList" hidden="1">
              <a:extLst>
                <a:ext uri="{63B3BB69-23CF-44E3-9099-C40C66FF867C}">
                  <a14:compatExt spid="_x0000_s2049"/>
                </a:ext>
                <a:ext uri="{FF2B5EF4-FFF2-40B4-BE49-F238E27FC236}">
                  <a16:creationId xmlns:a16="http://schemas.microsoft.com/office/drawing/2014/main" id="{DE50FBBB-EF50-45F0-964C-5B15628F676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CEE0-B23D-44F5-8BEA-DAD6083424B2}">
  <sheetPr>
    <tabColor theme="9" tint="0.79998168889431442"/>
    <pageSetUpPr fitToPage="1"/>
  </sheetPr>
  <dimension ref="A1:N81"/>
  <sheetViews>
    <sheetView tabSelected="1" view="pageBreakPreview" zoomScale="85" zoomScaleNormal="85" zoomScaleSheetLayoutView="85" workbookViewId="0">
      <selection activeCell="J58" sqref="J58"/>
    </sheetView>
  </sheetViews>
  <sheetFormatPr defaultColWidth="4.453125" defaultRowHeight="24" customHeight="1" x14ac:dyDescent="0.2"/>
  <cols>
    <col min="1" max="1" width="4.453125" style="6" customWidth="1"/>
    <col min="2" max="2" width="11.08984375" style="6" customWidth="1"/>
    <col min="3" max="3" width="37.453125" style="6" customWidth="1"/>
    <col min="4" max="5" width="16.08984375" style="6" customWidth="1"/>
    <col min="6" max="6" width="19.453125" style="11" customWidth="1"/>
    <col min="7" max="7" width="16.08984375" style="6" customWidth="1"/>
    <col min="8" max="8" width="16.08984375" style="119" customWidth="1"/>
    <col min="9" max="9" width="0.453125" style="6" customWidth="1"/>
    <col min="10" max="10" width="4.453125" style="6"/>
    <col min="11" max="11" width="15.08984375" style="8" bestFit="1" customWidth="1"/>
    <col min="12" max="12" width="4.453125" style="6"/>
    <col min="13" max="13" width="38" style="6" customWidth="1"/>
    <col min="14" max="14" width="18.7265625" style="9" customWidth="1"/>
    <col min="15" max="15" width="4.453125" style="6"/>
    <col min="16" max="16" width="29.90625" style="6" customWidth="1"/>
    <col min="17" max="17" width="18.7265625" style="6" customWidth="1"/>
    <col min="18" max="16384" width="4.453125" style="6"/>
  </cols>
  <sheetData>
    <row r="1" spans="1:14" ht="22.5" customHeight="1" x14ac:dyDescent="0.2">
      <c r="A1" s="1" t="s">
        <v>0</v>
      </c>
      <c r="B1" s="2"/>
      <c r="C1" s="2"/>
      <c r="D1" s="2"/>
      <c r="E1" s="3"/>
      <c r="F1" s="4"/>
      <c r="G1" s="2"/>
      <c r="H1" s="5"/>
      <c r="J1" s="7"/>
    </row>
    <row r="2" spans="1:14" s="14" customFormat="1" ht="22.5" customHeight="1" thickBot="1" x14ac:dyDescent="0.25">
      <c r="A2" s="6"/>
      <c r="B2" s="6"/>
      <c r="C2" s="6"/>
      <c r="D2" s="6"/>
      <c r="E2" s="10"/>
      <c r="F2" s="11"/>
      <c r="G2" s="12"/>
      <c r="H2" s="12"/>
      <c r="I2" s="12"/>
      <c r="J2" s="12"/>
      <c r="K2" s="13"/>
      <c r="N2" s="15"/>
    </row>
    <row r="3" spans="1:14" s="14" customFormat="1" ht="22.5" customHeight="1" x14ac:dyDescent="0.2">
      <c r="A3" s="6"/>
      <c r="B3" s="16" t="s">
        <v>1</v>
      </c>
      <c r="C3" s="17" t="s">
        <v>2</v>
      </c>
      <c r="D3" s="18"/>
      <c r="E3" s="18"/>
      <c r="F3" s="19"/>
      <c r="G3" s="12"/>
      <c r="H3" s="12"/>
      <c r="I3" s="12"/>
      <c r="J3" s="12"/>
      <c r="K3" s="13"/>
      <c r="N3" s="15"/>
    </row>
    <row r="4" spans="1:14" s="14" customFormat="1" ht="22.5" customHeight="1" x14ac:dyDescent="0.2">
      <c r="A4" s="6"/>
      <c r="B4" s="20" t="s">
        <v>3</v>
      </c>
      <c r="C4" s="21" t="s">
        <v>4</v>
      </c>
      <c r="D4" s="22"/>
      <c r="E4" s="22"/>
      <c r="F4" s="23"/>
      <c r="G4" s="12"/>
      <c r="H4" s="12"/>
      <c r="I4" s="12"/>
      <c r="J4" s="12"/>
      <c r="K4" s="13"/>
      <c r="N4" s="15"/>
    </row>
    <row r="5" spans="1:14" s="14" customFormat="1" ht="22.5" customHeight="1" thickBot="1" x14ac:dyDescent="0.25">
      <c r="A5" s="6"/>
      <c r="B5" s="24" t="s">
        <v>5</v>
      </c>
      <c r="C5" s="25">
        <v>45991</v>
      </c>
      <c r="D5" s="26"/>
      <c r="E5" s="26"/>
      <c r="F5" s="27"/>
      <c r="G5" s="12"/>
      <c r="H5" s="12"/>
      <c r="I5" s="12"/>
      <c r="J5" s="12"/>
      <c r="K5" s="13"/>
      <c r="N5" s="15"/>
    </row>
    <row r="6" spans="1:14" s="14" customFormat="1" ht="22.5" customHeight="1" x14ac:dyDescent="0.2">
      <c r="A6" s="28"/>
      <c r="B6" s="28"/>
      <c r="C6" s="28"/>
      <c r="D6" s="28"/>
      <c r="E6" s="29"/>
      <c r="F6" s="28"/>
      <c r="G6" s="30"/>
      <c r="H6" s="30"/>
      <c r="I6" s="30"/>
      <c r="J6" s="30"/>
      <c r="K6" s="31"/>
      <c r="L6" s="32"/>
      <c r="N6" s="15"/>
    </row>
    <row r="7" spans="1:14" s="14" customFormat="1" ht="22.5" customHeight="1" x14ac:dyDescent="0.2">
      <c r="A7" s="28"/>
      <c r="B7" s="28"/>
      <c r="C7" s="28"/>
      <c r="D7" s="28"/>
      <c r="E7" s="28"/>
      <c r="F7" s="28"/>
      <c r="G7" s="30"/>
      <c r="H7" s="30"/>
      <c r="I7" s="30"/>
      <c r="J7" s="30"/>
      <c r="K7" s="31"/>
      <c r="L7" s="32"/>
      <c r="N7" s="15"/>
    </row>
    <row r="8" spans="1:14" s="14" customFormat="1" ht="22.5" customHeight="1" x14ac:dyDescent="0.2">
      <c r="A8" s="28"/>
      <c r="B8" s="28"/>
      <c r="C8" s="28"/>
      <c r="D8" s="28"/>
      <c r="E8" s="30"/>
      <c r="F8" s="28"/>
      <c r="G8" s="30"/>
      <c r="H8" s="30"/>
      <c r="I8" s="30"/>
      <c r="J8" s="30"/>
      <c r="K8" s="31"/>
      <c r="L8" s="32"/>
      <c r="N8" s="15"/>
    </row>
    <row r="9" spans="1:14" s="14" customFormat="1" ht="22.5" customHeight="1" x14ac:dyDescent="0.2">
      <c r="A9" s="28"/>
      <c r="B9" s="28"/>
      <c r="C9" s="28"/>
      <c r="D9" s="28"/>
      <c r="E9" s="30"/>
      <c r="F9" s="28"/>
      <c r="G9" s="30"/>
      <c r="H9" s="30"/>
      <c r="I9" s="30"/>
      <c r="J9" s="30"/>
      <c r="K9" s="31"/>
      <c r="L9" s="32"/>
      <c r="N9" s="15"/>
    </row>
    <row r="10" spans="1:14" s="14" customFormat="1" ht="22.5" customHeight="1" thickBot="1" x14ac:dyDescent="0.25">
      <c r="A10" s="28" t="s">
        <v>6</v>
      </c>
      <c r="B10" s="28"/>
      <c r="C10" s="28"/>
      <c r="D10" s="28"/>
      <c r="E10" s="29"/>
      <c r="F10" s="33"/>
      <c r="G10" s="28"/>
      <c r="H10" s="34" t="s">
        <v>7</v>
      </c>
      <c r="I10" s="28"/>
      <c r="J10" s="28"/>
      <c r="K10" s="31"/>
      <c r="L10" s="32"/>
      <c r="N10" s="15"/>
    </row>
    <row r="11" spans="1:14" ht="22.5" customHeight="1" x14ac:dyDescent="0.2">
      <c r="A11" s="35" t="s">
        <v>8</v>
      </c>
      <c r="B11" s="36" t="s">
        <v>9</v>
      </c>
      <c r="C11" s="37"/>
      <c r="D11" s="38"/>
      <c r="E11" s="39" t="s">
        <v>10</v>
      </c>
      <c r="F11" s="40" t="s">
        <v>11</v>
      </c>
      <c r="G11" s="41"/>
      <c r="H11" s="42"/>
      <c r="I11" s="28"/>
      <c r="J11" s="28"/>
      <c r="K11" s="43"/>
      <c r="L11" s="28"/>
    </row>
    <row r="12" spans="1:14" ht="37" customHeight="1" thickBot="1" x14ac:dyDescent="0.25">
      <c r="A12" s="44"/>
      <c r="B12" s="45"/>
      <c r="C12" s="46"/>
      <c r="D12" s="46"/>
      <c r="E12" s="47"/>
      <c r="F12" s="48" t="s">
        <v>12</v>
      </c>
      <c r="G12" s="49" t="s">
        <v>13</v>
      </c>
      <c r="H12" s="50" t="s">
        <v>14</v>
      </c>
      <c r="I12" s="28"/>
      <c r="J12" s="28"/>
      <c r="K12" s="43" t="s">
        <v>15</v>
      </c>
      <c r="L12" s="28"/>
      <c r="M12" s="28"/>
    </row>
    <row r="13" spans="1:14" ht="27" customHeight="1" thickTop="1" x14ac:dyDescent="0.2">
      <c r="A13" s="51">
        <v>1</v>
      </c>
      <c r="B13" s="52" t="s">
        <v>17</v>
      </c>
      <c r="C13" s="52"/>
      <c r="D13" s="53"/>
      <c r="E13" s="54">
        <v>0</v>
      </c>
      <c r="F13" s="55" t="str">
        <f>IFERROR(H13/G13,"")</f>
        <v/>
      </c>
      <c r="G13" s="56">
        <f>SUMIFS('明細（オンバラ）'!$E:$E,'明細（オンバラ）'!J:J,K13)</f>
        <v>0</v>
      </c>
      <c r="H13" s="57">
        <f>SUMIFS('明細（オンバラ）'!$G:$G,'明細（オンバラ）'!J:J,K13)</f>
        <v>0</v>
      </c>
      <c r="I13" s="28">
        <f t="shared" ref="I13:I36" si="0">IFERROR(H13/$G$44*100,"")</f>
        <v>0</v>
      </c>
      <c r="J13" s="28"/>
      <c r="K13" s="43">
        <v>101</v>
      </c>
      <c r="L13" s="28"/>
    </row>
    <row r="14" spans="1:14" ht="26.25" customHeight="1" x14ac:dyDescent="0.2">
      <c r="A14" s="58">
        <v>2</v>
      </c>
      <c r="B14" s="59" t="s">
        <v>18</v>
      </c>
      <c r="C14" s="59"/>
      <c r="D14" s="60"/>
      <c r="E14" s="61">
        <v>0</v>
      </c>
      <c r="F14" s="55">
        <f t="shared" ref="F14:F43" si="1">IFERROR(H14/G14,"")</f>
        <v>0</v>
      </c>
      <c r="G14" s="56">
        <f>SUMIFS('明細（オンバラ）'!$E:$E,'明細（オンバラ）'!J:J,K14)</f>
        <v>10000</v>
      </c>
      <c r="H14" s="62">
        <f>SUMIFS('明細（オンバラ）'!$G:$G,'明細（オンバラ）'!J:J,K14)</f>
        <v>0</v>
      </c>
      <c r="I14" s="28">
        <f t="shared" si="0"/>
        <v>0</v>
      </c>
      <c r="J14" s="28"/>
      <c r="K14" s="43">
        <v>201</v>
      </c>
      <c r="L14" s="28"/>
    </row>
    <row r="15" spans="1:14" ht="26.25" customHeight="1" x14ac:dyDescent="0.2">
      <c r="A15" s="58">
        <v>3</v>
      </c>
      <c r="B15" s="59" t="s">
        <v>19</v>
      </c>
      <c r="C15" s="59"/>
      <c r="D15" s="60"/>
      <c r="E15" s="61" t="s">
        <v>20</v>
      </c>
      <c r="F15" s="55" t="str">
        <f t="shared" si="1"/>
        <v/>
      </c>
      <c r="G15" s="56">
        <f>SUMIFS('明細（オンバラ）'!$E:$E,'明細（オンバラ）'!J:J,K15)</f>
        <v>0</v>
      </c>
      <c r="H15" s="62">
        <f>SUMIFS('明細（オンバラ）'!$G:$G,'明細（オンバラ）'!J:J,K15)</f>
        <v>0</v>
      </c>
      <c r="I15" s="28">
        <f t="shared" si="0"/>
        <v>0</v>
      </c>
      <c r="J15" s="28"/>
      <c r="K15" s="43">
        <v>301</v>
      </c>
      <c r="L15" s="28"/>
    </row>
    <row r="16" spans="1:14" ht="26.25" customHeight="1" x14ac:dyDescent="0.2">
      <c r="A16" s="58">
        <v>4</v>
      </c>
      <c r="B16" s="59" t="s">
        <v>21</v>
      </c>
      <c r="C16" s="59"/>
      <c r="D16" s="60"/>
      <c r="E16" s="61">
        <v>0</v>
      </c>
      <c r="F16" s="55" t="str">
        <f t="shared" si="1"/>
        <v/>
      </c>
      <c r="G16" s="56">
        <f>SUMIFS('明細（オンバラ）'!$E:$E,'明細（オンバラ）'!J:J,K16)</f>
        <v>0</v>
      </c>
      <c r="H16" s="62">
        <f>SUMIFS('明細（オンバラ）'!$G:$G,'明細（オンバラ）'!J:J,K16)</f>
        <v>0</v>
      </c>
      <c r="I16" s="28">
        <f t="shared" si="0"/>
        <v>0</v>
      </c>
      <c r="J16" s="28"/>
      <c r="K16" s="43">
        <v>401</v>
      </c>
      <c r="L16" s="28"/>
    </row>
    <row r="17" spans="1:13" s="9" customFormat="1" ht="26.25" customHeight="1" x14ac:dyDescent="0.2">
      <c r="A17" s="58">
        <v>5</v>
      </c>
      <c r="B17" s="59" t="s">
        <v>22</v>
      </c>
      <c r="C17" s="59"/>
      <c r="D17" s="60"/>
      <c r="E17" s="61">
        <v>0</v>
      </c>
      <c r="F17" s="55" t="str">
        <f t="shared" si="1"/>
        <v/>
      </c>
      <c r="G17" s="56">
        <f>SUMIFS('明細（オンバラ）'!$E:$E,'明細（オンバラ）'!J:J,K17)</f>
        <v>0</v>
      </c>
      <c r="H17" s="62">
        <f>SUMIFS('明細（オンバラ）'!$G:$G,'明細（オンバラ）'!J:J,K17)</f>
        <v>0</v>
      </c>
      <c r="I17" s="28">
        <f t="shared" si="0"/>
        <v>0</v>
      </c>
      <c r="J17" s="28"/>
      <c r="K17" s="43">
        <v>501</v>
      </c>
      <c r="L17" s="28"/>
      <c r="M17" s="6"/>
    </row>
    <row r="18" spans="1:13" s="9" customFormat="1" ht="26.25" customHeight="1" x14ac:dyDescent="0.2">
      <c r="A18" s="58">
        <v>6</v>
      </c>
      <c r="B18" s="59" t="s">
        <v>23</v>
      </c>
      <c r="C18" s="59"/>
      <c r="D18" s="60"/>
      <c r="E18" s="61" t="s">
        <v>24</v>
      </c>
      <c r="F18" s="55" t="str">
        <f t="shared" si="1"/>
        <v/>
      </c>
      <c r="G18" s="56">
        <f>SUMIFS('明細（オンバラ）'!$E:$E,'明細（オンバラ）'!J:J,K18)</f>
        <v>0</v>
      </c>
      <c r="H18" s="62">
        <f>SUMIFS('明細（オンバラ）'!$G:$G,'明細（オンバラ）'!J:J,K18)</f>
        <v>0</v>
      </c>
      <c r="I18" s="28">
        <f t="shared" si="0"/>
        <v>0</v>
      </c>
      <c r="J18" s="28"/>
      <c r="K18" s="43">
        <v>601</v>
      </c>
      <c r="L18" s="28"/>
      <c r="M18" s="6"/>
    </row>
    <row r="19" spans="1:13" s="9" customFormat="1" ht="26.25" customHeight="1" x14ac:dyDescent="0.2">
      <c r="A19" s="58">
        <v>7</v>
      </c>
      <c r="B19" s="59" t="s">
        <v>25</v>
      </c>
      <c r="C19" s="59"/>
      <c r="D19" s="60"/>
      <c r="E19" s="61" t="s">
        <v>20</v>
      </c>
      <c r="F19" s="55" t="str">
        <f t="shared" si="1"/>
        <v/>
      </c>
      <c r="G19" s="56">
        <f>SUMIFS('明細（オンバラ）'!$E:$E,'明細（オンバラ）'!J:J,K19)</f>
        <v>0</v>
      </c>
      <c r="H19" s="62">
        <f>SUMIFS('明細（オンバラ）'!$G:$G,'明細（オンバラ）'!J:J,K19)</f>
        <v>0</v>
      </c>
      <c r="I19" s="28">
        <f t="shared" si="0"/>
        <v>0</v>
      </c>
      <c r="J19" s="28"/>
      <c r="K19" s="43">
        <v>701</v>
      </c>
      <c r="L19" s="28"/>
      <c r="M19" s="6"/>
    </row>
    <row r="20" spans="1:13" s="9" customFormat="1" ht="26.25" customHeight="1" x14ac:dyDescent="0.2">
      <c r="A20" s="58">
        <v>8</v>
      </c>
      <c r="B20" s="59" t="s">
        <v>26</v>
      </c>
      <c r="C20" s="59"/>
      <c r="D20" s="60"/>
      <c r="E20" s="61" t="s">
        <v>27</v>
      </c>
      <c r="F20" s="55" t="str">
        <f t="shared" si="1"/>
        <v/>
      </c>
      <c r="G20" s="56">
        <f>SUMIFS('明細（オンバラ）'!$E:$E,'明細（オンバラ）'!J:J,K20)</f>
        <v>0</v>
      </c>
      <c r="H20" s="62">
        <f>SUMIFS('明細（オンバラ）'!$G:$G,'明細（オンバラ）'!J:J,K20)</f>
        <v>0</v>
      </c>
      <c r="I20" s="28">
        <f t="shared" si="0"/>
        <v>0</v>
      </c>
      <c r="J20" s="28"/>
      <c r="K20" s="43">
        <v>801</v>
      </c>
      <c r="L20" s="28"/>
      <c r="M20" s="6"/>
    </row>
    <row r="21" spans="1:13" s="9" customFormat="1" ht="26.25" customHeight="1" x14ac:dyDescent="0.2">
      <c r="A21" s="58">
        <v>9</v>
      </c>
      <c r="B21" s="59" t="s">
        <v>28</v>
      </c>
      <c r="C21" s="59"/>
      <c r="D21" s="60"/>
      <c r="E21" s="61" t="s">
        <v>27</v>
      </c>
      <c r="F21" s="55" t="str">
        <f t="shared" si="1"/>
        <v/>
      </c>
      <c r="G21" s="56">
        <f>SUMIFS('明細（オンバラ）'!$E:$E,'明細（オンバラ）'!J:J,K21)</f>
        <v>0</v>
      </c>
      <c r="H21" s="62">
        <f>SUMIFS('明細（オンバラ）'!$G:$G,'明細（オンバラ）'!J:J,K21)</f>
        <v>0</v>
      </c>
      <c r="I21" s="28">
        <f t="shared" si="0"/>
        <v>0</v>
      </c>
      <c r="J21" s="28"/>
      <c r="K21" s="43">
        <v>901</v>
      </c>
      <c r="L21" s="28"/>
      <c r="M21" s="6"/>
    </row>
    <row r="22" spans="1:13" s="9" customFormat="1" ht="26.25" customHeight="1" x14ac:dyDescent="0.2">
      <c r="A22" s="58">
        <v>10</v>
      </c>
      <c r="B22" s="59" t="s">
        <v>29</v>
      </c>
      <c r="C22" s="59"/>
      <c r="D22" s="60"/>
      <c r="E22" s="61" t="s">
        <v>24</v>
      </c>
      <c r="F22" s="55" t="str">
        <f t="shared" si="1"/>
        <v/>
      </c>
      <c r="G22" s="56">
        <f>SUMIFS('明細（オンバラ）'!$E:$E,'明細（オンバラ）'!J:J,K22)</f>
        <v>0</v>
      </c>
      <c r="H22" s="62">
        <f>SUMIFS('明細（オンバラ）'!$G:$G,'明細（オンバラ）'!J:J,K22)</f>
        <v>0</v>
      </c>
      <c r="I22" s="28">
        <f t="shared" si="0"/>
        <v>0</v>
      </c>
      <c r="J22" s="28"/>
      <c r="K22" s="43">
        <v>1001</v>
      </c>
      <c r="L22" s="28"/>
      <c r="M22" s="6"/>
    </row>
    <row r="23" spans="1:13" s="9" customFormat="1" ht="26.25" customHeight="1" x14ac:dyDescent="0.2">
      <c r="A23" s="63">
        <v>11</v>
      </c>
      <c r="B23" s="59" t="s">
        <v>30</v>
      </c>
      <c r="C23" s="59"/>
      <c r="D23" s="60"/>
      <c r="E23" s="61" t="s">
        <v>24</v>
      </c>
      <c r="F23" s="55">
        <f t="shared" si="1"/>
        <v>0.19999999999999998</v>
      </c>
      <c r="G23" s="56">
        <f>SUMIFS('明細（オンバラ）'!$E:$E,'明細（オンバラ）'!J:J,K23)+SUM(G24)</f>
        <v>18988894</v>
      </c>
      <c r="H23" s="62">
        <f>SUMIFS('明細（オンバラ）'!$G:$G,'明細（オンバラ）'!J:J,K23)+SUM(H24)</f>
        <v>3797778.8</v>
      </c>
      <c r="I23" s="28">
        <f t="shared" si="0"/>
        <v>1.1218108800146529</v>
      </c>
      <c r="J23" s="28"/>
      <c r="K23" s="43">
        <v>1101</v>
      </c>
      <c r="L23" s="28"/>
      <c r="M23" s="6"/>
    </row>
    <row r="24" spans="1:13" s="9" customFormat="1" ht="26.25" customHeight="1" x14ac:dyDescent="0.2">
      <c r="A24" s="64"/>
      <c r="B24" s="59" t="s">
        <v>31</v>
      </c>
      <c r="C24" s="59"/>
      <c r="D24" s="60"/>
      <c r="E24" s="61" t="s">
        <v>24</v>
      </c>
      <c r="F24" s="55" t="str">
        <f t="shared" si="1"/>
        <v/>
      </c>
      <c r="G24" s="56">
        <f>SUMIFS('明細（オンバラ）'!$E:$E,'明細（オンバラ）'!J:J,K24)</f>
        <v>0</v>
      </c>
      <c r="H24" s="62">
        <f>SUMIFS('明細（オンバラ）'!$G:$G,'明細（オンバラ）'!J:J,K24)</f>
        <v>0</v>
      </c>
      <c r="I24" s="28">
        <f t="shared" si="0"/>
        <v>0</v>
      </c>
      <c r="J24" s="28"/>
      <c r="K24" s="43">
        <v>1102</v>
      </c>
      <c r="L24" s="28"/>
      <c r="M24" s="6"/>
    </row>
    <row r="25" spans="1:13" s="9" customFormat="1" ht="26.25" customHeight="1" x14ac:dyDescent="0.2">
      <c r="A25" s="58">
        <v>12</v>
      </c>
      <c r="B25" s="59" t="s">
        <v>32</v>
      </c>
      <c r="C25" s="59"/>
      <c r="D25" s="60"/>
      <c r="E25" s="61" t="s">
        <v>33</v>
      </c>
      <c r="F25" s="55" t="str">
        <f t="shared" si="1"/>
        <v/>
      </c>
      <c r="G25" s="56">
        <f>SUMIFS('明細（オンバラ）'!$E:$E,'明細（オンバラ）'!J:J,K25)</f>
        <v>0</v>
      </c>
      <c r="H25" s="62">
        <f>SUMIFS('明細（オンバラ）'!$G:$G,'明細（オンバラ）'!J:J,K25)</f>
        <v>0</v>
      </c>
      <c r="I25" s="28">
        <f t="shared" si="0"/>
        <v>0</v>
      </c>
      <c r="J25" s="28"/>
      <c r="K25" s="43">
        <v>1201</v>
      </c>
      <c r="L25" s="28"/>
      <c r="M25" s="6"/>
    </row>
    <row r="26" spans="1:13" s="9" customFormat="1" ht="26.25" customHeight="1" x14ac:dyDescent="0.2">
      <c r="A26" s="63">
        <v>13</v>
      </c>
      <c r="B26" s="59" t="s">
        <v>34</v>
      </c>
      <c r="C26" s="59"/>
      <c r="D26" s="60"/>
      <c r="E26" s="61" t="s">
        <v>24</v>
      </c>
      <c r="F26" s="55">
        <f t="shared" si="1"/>
        <v>1</v>
      </c>
      <c r="G26" s="56">
        <f>SUMIFS('明細（オンバラ）'!$E:$E,'明細（オンバラ）'!J:J,K26)+SUM(G27)</f>
        <v>406178</v>
      </c>
      <c r="H26" s="62">
        <f>SUMIFS('明細（オンバラ）'!$G:$G,'明細（オンバラ）'!J:J,K26)+SUM(H27)</f>
        <v>406178</v>
      </c>
      <c r="I26" s="28">
        <f t="shared" si="0"/>
        <v>0.11997931517828046</v>
      </c>
      <c r="J26" s="28"/>
      <c r="K26" s="43">
        <v>1301</v>
      </c>
      <c r="L26" s="28"/>
      <c r="M26" s="6"/>
    </row>
    <row r="27" spans="1:13" s="9" customFormat="1" ht="26.25" customHeight="1" x14ac:dyDescent="0.2">
      <c r="A27" s="64"/>
      <c r="B27" s="59" t="s">
        <v>35</v>
      </c>
      <c r="C27" s="59"/>
      <c r="D27" s="60"/>
      <c r="E27" s="61" t="s">
        <v>24</v>
      </c>
      <c r="F27" s="55" t="str">
        <f t="shared" si="1"/>
        <v/>
      </c>
      <c r="G27" s="56">
        <f>SUMIFS('明細（オンバラ）'!$E:$E,'明細（オンバラ）'!J:J,K27)</f>
        <v>0</v>
      </c>
      <c r="H27" s="62">
        <f>SUMIFS('明細（オンバラ）'!$G:$G,'明細（オンバラ）'!J:J,K27)</f>
        <v>0</v>
      </c>
      <c r="I27" s="28">
        <f t="shared" si="0"/>
        <v>0</v>
      </c>
      <c r="J27" s="28"/>
      <c r="K27" s="43">
        <v>1302</v>
      </c>
      <c r="L27" s="28"/>
      <c r="M27" s="6"/>
    </row>
    <row r="28" spans="1:13" s="9" customFormat="1" ht="26.25" customHeight="1" x14ac:dyDescent="0.2">
      <c r="A28" s="63">
        <v>14</v>
      </c>
      <c r="B28" s="59" t="s">
        <v>36</v>
      </c>
      <c r="C28" s="59"/>
      <c r="D28" s="60"/>
      <c r="E28" s="61" t="s">
        <v>37</v>
      </c>
      <c r="F28" s="55" t="str">
        <f t="shared" si="1"/>
        <v/>
      </c>
      <c r="G28" s="56">
        <f>SUMIFS('明細（オンバラ）'!$E:$E,'明細（オンバラ）'!J:J,K28)</f>
        <v>0</v>
      </c>
      <c r="H28" s="62">
        <f>SUMIFS('明細（オンバラ）'!$G:$G,'明細（オンバラ）'!J:J,K28)</f>
        <v>0</v>
      </c>
      <c r="I28" s="28">
        <f t="shared" si="0"/>
        <v>0</v>
      </c>
      <c r="J28" s="28"/>
      <c r="K28" s="43">
        <v>1401</v>
      </c>
      <c r="L28" s="28"/>
      <c r="M28" s="6"/>
    </row>
    <row r="29" spans="1:13" s="9" customFormat="1" ht="26.25" customHeight="1" x14ac:dyDescent="0.2">
      <c r="A29" s="63">
        <v>15</v>
      </c>
      <c r="B29" s="59" t="s">
        <v>38</v>
      </c>
      <c r="C29" s="59"/>
      <c r="D29" s="60"/>
      <c r="E29" s="61" t="s">
        <v>39</v>
      </c>
      <c r="F29" s="55" t="str">
        <f t="shared" si="1"/>
        <v/>
      </c>
      <c r="G29" s="65">
        <f>SUMIFS('明細（オンバラ）'!$E:$E,'明細（オンバラ）'!J:J,K29)</f>
        <v>0</v>
      </c>
      <c r="H29" s="62">
        <f>SUMIFS('明細（オンバラ）'!$G:$G,'明細（オンバラ）'!J:J,K29)</f>
        <v>0</v>
      </c>
      <c r="I29" s="28">
        <f t="shared" si="0"/>
        <v>0</v>
      </c>
      <c r="J29" s="28"/>
      <c r="K29" s="43">
        <v>1501</v>
      </c>
      <c r="L29" s="28"/>
      <c r="M29" s="6"/>
    </row>
    <row r="30" spans="1:13" s="9" customFormat="1" ht="26.25" customHeight="1" x14ac:dyDescent="0.2">
      <c r="A30" s="58">
        <v>16</v>
      </c>
      <c r="B30" s="59" t="s">
        <v>40</v>
      </c>
      <c r="C30" s="59"/>
      <c r="D30" s="60"/>
      <c r="E30" s="61">
        <v>150</v>
      </c>
      <c r="F30" s="55" t="str">
        <f t="shared" si="1"/>
        <v/>
      </c>
      <c r="G30" s="56">
        <f>SUMIFS('明細（オンバラ）'!$E:$E,'明細（オンバラ）'!J:J,K30)</f>
        <v>0</v>
      </c>
      <c r="H30" s="62">
        <f>SUMIFS('明細（オンバラ）'!$G:$G,'明細（オンバラ）'!J:J,K30)</f>
        <v>0</v>
      </c>
      <c r="I30" s="28">
        <f t="shared" si="0"/>
        <v>0</v>
      </c>
      <c r="J30" s="28"/>
      <c r="K30" s="43">
        <v>1601</v>
      </c>
      <c r="L30" s="28"/>
      <c r="M30" s="6"/>
    </row>
    <row r="31" spans="1:13" s="9" customFormat="1" ht="26.25" customHeight="1" x14ac:dyDescent="0.2">
      <c r="A31" s="58">
        <v>17</v>
      </c>
      <c r="B31" s="59" t="s">
        <v>41</v>
      </c>
      <c r="C31" s="59"/>
      <c r="D31" s="60"/>
      <c r="E31" s="61" t="s">
        <v>42</v>
      </c>
      <c r="F31" s="55" t="str">
        <f t="shared" si="1"/>
        <v/>
      </c>
      <c r="G31" s="56">
        <f>SUMIFS('明細（オンバラ）'!$E:$E,'明細（オンバラ）'!J:J,K31)</f>
        <v>0</v>
      </c>
      <c r="H31" s="62">
        <f>SUMIFS('明細（オンバラ）'!$G:$G,'明細（オンバラ）'!J:J,K31)</f>
        <v>0</v>
      </c>
      <c r="I31" s="28">
        <f t="shared" si="0"/>
        <v>0</v>
      </c>
      <c r="J31" s="28"/>
      <c r="K31" s="43">
        <v>1701</v>
      </c>
      <c r="L31" s="28"/>
      <c r="M31" s="6"/>
    </row>
    <row r="32" spans="1:13" s="9" customFormat="1" ht="26.25" customHeight="1" x14ac:dyDescent="0.2">
      <c r="A32" s="58">
        <v>18</v>
      </c>
      <c r="B32" s="59" t="s">
        <v>43</v>
      </c>
      <c r="C32" s="59"/>
      <c r="D32" s="60"/>
      <c r="E32" s="61">
        <v>20</v>
      </c>
      <c r="F32" s="55" t="str">
        <f t="shared" si="1"/>
        <v/>
      </c>
      <c r="G32" s="56">
        <f>SUMIFS('明細（オンバラ）'!$E:$E,'明細（オンバラ）'!J:J,K32)</f>
        <v>0</v>
      </c>
      <c r="H32" s="62">
        <f>SUMIFS('明細（オンバラ）'!$G:$G,'明細（オンバラ）'!J:J,K32)</f>
        <v>0</v>
      </c>
      <c r="I32" s="28">
        <f t="shared" si="0"/>
        <v>0</v>
      </c>
      <c r="J32" s="28"/>
      <c r="K32" s="43">
        <v>1801</v>
      </c>
      <c r="L32" s="28"/>
      <c r="M32" s="6"/>
    </row>
    <row r="33" spans="1:13" s="9" customFormat="1" ht="26.25" customHeight="1" x14ac:dyDescent="0.2">
      <c r="A33" s="58">
        <v>19</v>
      </c>
      <c r="B33" s="59" t="s">
        <v>44</v>
      </c>
      <c r="C33" s="59"/>
      <c r="D33" s="60"/>
      <c r="E33" s="61" t="s">
        <v>45</v>
      </c>
      <c r="F33" s="55" t="str">
        <f t="shared" si="1"/>
        <v/>
      </c>
      <c r="G33" s="56">
        <f>SUMIFS('明細（オンバラ）'!$E:$E,'明細（オンバラ）'!J:J,K33)</f>
        <v>0</v>
      </c>
      <c r="H33" s="62">
        <f>SUMIFS('明細（オンバラ）'!$G:$G,'明細（オンバラ）'!J:J,K33)</f>
        <v>0</v>
      </c>
      <c r="I33" s="28">
        <f t="shared" si="0"/>
        <v>0</v>
      </c>
      <c r="J33" s="28"/>
      <c r="K33" s="43">
        <v>1901</v>
      </c>
      <c r="L33" s="28"/>
      <c r="M33" s="6"/>
    </row>
    <row r="34" spans="1:13" s="9" customFormat="1" ht="26.25" customHeight="1" x14ac:dyDescent="0.2">
      <c r="A34" s="58">
        <v>20</v>
      </c>
      <c r="B34" s="59" t="s">
        <v>46</v>
      </c>
      <c r="C34" s="59"/>
      <c r="D34" s="60"/>
      <c r="E34" s="61">
        <v>10</v>
      </c>
      <c r="F34" s="55" t="str">
        <f t="shared" si="1"/>
        <v/>
      </c>
      <c r="G34" s="56">
        <f>SUMIFS('明細（オンバラ）'!$E:$E,'明細（オンバラ）'!J:J,K34)</f>
        <v>0</v>
      </c>
      <c r="H34" s="62">
        <f>SUMIFS('明細（オンバラ）'!$G:$G,'明細（オンバラ）'!J:J,K34)</f>
        <v>0</v>
      </c>
      <c r="I34" s="28">
        <f t="shared" si="0"/>
        <v>0</v>
      </c>
      <c r="J34" s="28"/>
      <c r="K34" s="43">
        <v>2001</v>
      </c>
      <c r="L34" s="28"/>
      <c r="M34" s="6"/>
    </row>
    <row r="35" spans="1:13" s="9" customFormat="1" ht="26.25" customHeight="1" x14ac:dyDescent="0.2">
      <c r="A35" s="63">
        <v>21</v>
      </c>
      <c r="B35" s="59" t="s">
        <v>47</v>
      </c>
      <c r="C35" s="59"/>
      <c r="D35" s="60"/>
      <c r="E35" s="61" t="s">
        <v>48</v>
      </c>
      <c r="F35" s="55" t="str">
        <f t="shared" si="1"/>
        <v/>
      </c>
      <c r="G35" s="65">
        <f>SUMIFS('明細（オンバラ）'!$E:$E,'明細（オンバラ）'!J:J,K35)</f>
        <v>0</v>
      </c>
      <c r="H35" s="62">
        <f>SUMIFS('明細（オンバラ）'!$G:$G,'明細（オンバラ）'!J:J,K35)</f>
        <v>0</v>
      </c>
      <c r="I35" s="28">
        <f t="shared" si="0"/>
        <v>0</v>
      </c>
      <c r="J35" s="28"/>
      <c r="K35" s="43">
        <v>2101</v>
      </c>
      <c r="L35" s="28"/>
      <c r="M35" s="6"/>
    </row>
    <row r="36" spans="1:13" s="9" customFormat="1" ht="26.25" customHeight="1" x14ac:dyDescent="0.2">
      <c r="A36" s="63">
        <v>22</v>
      </c>
      <c r="B36" s="66" t="s">
        <v>49</v>
      </c>
      <c r="C36" s="67"/>
      <c r="D36" s="68"/>
      <c r="E36" s="61" t="s">
        <v>50</v>
      </c>
      <c r="F36" s="55">
        <f t="shared" si="1"/>
        <v>1</v>
      </c>
      <c r="G36" s="65">
        <f>SUMIFS('明細（オンバラ）'!$E:$E,'明細（オンバラ）'!J:J,K36)+SUM(G37:G40)</f>
        <v>319134950</v>
      </c>
      <c r="H36" s="62">
        <f>SUMIFS('明細（オンバラ）'!$G:$G,'明細（オンバラ）'!J:J,K36)+SUM(H37:H40)</f>
        <v>319134950</v>
      </c>
      <c r="I36" s="28">
        <f t="shared" si="0"/>
        <v>94.268012424244489</v>
      </c>
      <c r="J36" s="28"/>
      <c r="K36" s="43">
        <v>2201</v>
      </c>
      <c r="L36" s="28"/>
      <c r="M36" s="6"/>
    </row>
    <row r="37" spans="1:13" s="9" customFormat="1" ht="26.25" customHeight="1" x14ac:dyDescent="0.2">
      <c r="A37" s="69"/>
      <c r="B37" s="70" t="s">
        <v>51</v>
      </c>
      <c r="C37" s="71"/>
      <c r="D37" s="71"/>
      <c r="E37" s="61">
        <v>100</v>
      </c>
      <c r="F37" s="55">
        <f t="shared" si="1"/>
        <v>1</v>
      </c>
      <c r="G37" s="72">
        <f>'明細（オンバラ）'!E77</f>
        <v>304085519</v>
      </c>
      <c r="H37" s="73">
        <f>'明細（オンバラ）'!G77</f>
        <v>304085519</v>
      </c>
      <c r="I37" s="28"/>
      <c r="J37" s="28"/>
      <c r="K37" s="43">
        <v>2202</v>
      </c>
      <c r="L37" s="28"/>
      <c r="M37" s="6"/>
    </row>
    <row r="38" spans="1:13" s="9" customFormat="1" ht="26.25" customHeight="1" x14ac:dyDescent="0.2">
      <c r="A38" s="69"/>
      <c r="B38" s="70" t="s">
        <v>52</v>
      </c>
      <c r="C38" s="71"/>
      <c r="D38" s="71"/>
      <c r="E38" s="61" t="s">
        <v>50</v>
      </c>
      <c r="F38" s="55" t="str">
        <f t="shared" si="1"/>
        <v/>
      </c>
      <c r="G38" s="72">
        <f>SUMIFS('明細（オンバラ）'!$E:$E,'明細（オンバラ）'!J:J,K38)</f>
        <v>0</v>
      </c>
      <c r="H38" s="73">
        <f>SUMIFS('明細（オンバラ）'!$G:$G,'明細（オンバラ）'!J:J,K38)</f>
        <v>0</v>
      </c>
      <c r="I38" s="28"/>
      <c r="J38" s="28"/>
      <c r="K38" s="43">
        <v>2203</v>
      </c>
      <c r="L38" s="28"/>
      <c r="M38" s="6"/>
    </row>
    <row r="39" spans="1:13" s="9" customFormat="1" ht="26.25" customHeight="1" x14ac:dyDescent="0.2">
      <c r="A39" s="69"/>
      <c r="B39" s="70" t="s">
        <v>53</v>
      </c>
      <c r="C39" s="71"/>
      <c r="D39" s="71"/>
      <c r="E39" s="61"/>
      <c r="F39" s="55">
        <f t="shared" si="1"/>
        <v>1</v>
      </c>
      <c r="G39" s="72">
        <f>SUMIFS('明細（オンバラ）'!$E:$E,'明細（オンバラ）'!J:J,K39)</f>
        <v>13944481</v>
      </c>
      <c r="H39" s="73">
        <f>SUMIFS('明細（オンバラ）'!$G:$G,'明細（オンバラ）'!J:J,K39)</f>
        <v>13944481</v>
      </c>
      <c r="I39" s="28"/>
      <c r="J39" s="28"/>
      <c r="K39" s="43">
        <v>2204</v>
      </c>
      <c r="L39" s="28"/>
      <c r="M39" s="6"/>
    </row>
    <row r="40" spans="1:13" s="9" customFormat="1" ht="26.25" customHeight="1" x14ac:dyDescent="0.2">
      <c r="A40" s="74"/>
      <c r="B40" s="70" t="s">
        <v>54</v>
      </c>
      <c r="C40" s="71"/>
      <c r="D40" s="71"/>
      <c r="E40" s="61" t="s">
        <v>55</v>
      </c>
      <c r="F40" s="55">
        <f t="shared" si="1"/>
        <v>1</v>
      </c>
      <c r="G40" s="72">
        <f>SUMIFS('明細（オンバラ）'!$E:$E,'明細（オンバラ）'!J:J,K40)</f>
        <v>1104950</v>
      </c>
      <c r="H40" s="73">
        <f>SUMIFS('明細（オンバラ）'!$G:$G,'明細（オンバラ）'!J:J,K40)</f>
        <v>1104950</v>
      </c>
      <c r="I40" s="28">
        <f t="shared" ref="I40:I43" si="2">IFERROR(H40/$G$44*100,"")</f>
        <v>0.32638681638651279</v>
      </c>
      <c r="J40" s="28"/>
      <c r="K40" s="43">
        <v>2205</v>
      </c>
      <c r="L40" s="28"/>
      <c r="M40" s="6"/>
    </row>
    <row r="41" spans="1:13" s="9" customFormat="1" ht="26.25" customHeight="1" x14ac:dyDescent="0.2">
      <c r="A41" s="75">
        <v>23</v>
      </c>
      <c r="B41" s="76" t="s">
        <v>56</v>
      </c>
      <c r="C41" s="77"/>
      <c r="D41" s="78"/>
      <c r="E41" s="61" t="s">
        <v>57</v>
      </c>
      <c r="F41" s="55" t="str">
        <f t="shared" si="1"/>
        <v/>
      </c>
      <c r="G41" s="79">
        <f>SUMIFS('明細（オンバラ）'!$E:$E,'明細（オンバラ）'!J:J,K41)</f>
        <v>0</v>
      </c>
      <c r="H41" s="80">
        <f>SUMIFS('明細（オンバラ）'!$G:$G,'明細（オンバラ）'!J:J,K41)</f>
        <v>0</v>
      </c>
      <c r="I41" s="28">
        <f t="shared" si="2"/>
        <v>0</v>
      </c>
      <c r="J41" s="28"/>
      <c r="K41" s="43">
        <v>2301</v>
      </c>
      <c r="L41" s="28"/>
      <c r="M41" s="6"/>
    </row>
    <row r="42" spans="1:13" s="9" customFormat="1" ht="26.25" customHeight="1" x14ac:dyDescent="0.2">
      <c r="A42" s="75">
        <v>24</v>
      </c>
      <c r="B42" s="76" t="s">
        <v>58</v>
      </c>
      <c r="C42" s="77"/>
      <c r="D42" s="78"/>
      <c r="E42" s="81" t="s">
        <v>59</v>
      </c>
      <c r="F42" s="55" t="str">
        <f t="shared" si="1"/>
        <v/>
      </c>
      <c r="G42" s="79">
        <f>SUMIFS('明細（オンバラ）'!$E:$E,'明細（オンバラ）'!J:J,K42)</f>
        <v>0</v>
      </c>
      <c r="H42" s="80">
        <f>SUMIFS('明細（オンバラ）'!$G:$G,'明細（オンバラ）'!J:J,K42)</f>
        <v>0</v>
      </c>
      <c r="I42" s="28">
        <f t="shared" si="2"/>
        <v>0</v>
      </c>
      <c r="J42" s="28"/>
      <c r="K42" s="43">
        <v>2401</v>
      </c>
      <c r="L42" s="28"/>
      <c r="M42" s="6"/>
    </row>
    <row r="43" spans="1:13" s="9" customFormat="1" ht="26.25" customHeight="1" thickBot="1" x14ac:dyDescent="0.25">
      <c r="A43" s="75">
        <v>25</v>
      </c>
      <c r="B43" s="82" t="s">
        <v>60</v>
      </c>
      <c r="C43" s="83"/>
      <c r="D43" s="84"/>
      <c r="E43" s="85" t="s">
        <v>59</v>
      </c>
      <c r="F43" s="55" t="str">
        <f t="shared" si="1"/>
        <v/>
      </c>
      <c r="G43" s="79">
        <f>SUMIFS('明細（オンバラ）'!$E:$E,'明細（オンバラ）'!J:J,K43)</f>
        <v>0</v>
      </c>
      <c r="H43" s="80">
        <f>SUMIFS('明細（オンバラ）'!$G:$G,'明細（オンバラ）'!J:J,K43)</f>
        <v>0</v>
      </c>
      <c r="I43" s="28">
        <f t="shared" si="2"/>
        <v>0</v>
      </c>
      <c r="J43" s="28"/>
      <c r="K43" s="43">
        <v>2501</v>
      </c>
      <c r="L43" s="28"/>
      <c r="M43" s="6"/>
    </row>
    <row r="44" spans="1:13" s="9" customFormat="1" ht="26.25" customHeight="1" thickTop="1" thickBot="1" x14ac:dyDescent="0.25">
      <c r="A44" s="86"/>
      <c r="B44" s="87"/>
      <c r="C44" s="88"/>
      <c r="D44" s="88"/>
      <c r="E44" s="89"/>
      <c r="F44" s="90">
        <f>IFERROR(H44/G44,"")</f>
        <v>0.95509802619437401</v>
      </c>
      <c r="G44" s="91">
        <f>SUM(G13:G43)-SUM(G24)-SUM(G27)-SUM(G37:G40)</f>
        <v>338540022</v>
      </c>
      <c r="H44" s="92">
        <f>SUM(H13:H43)-SUM(H24)-SUM(H27)-SUM(H37:H40)</f>
        <v>323338906.79999995</v>
      </c>
      <c r="I44" s="28"/>
      <c r="J44" s="28"/>
      <c r="K44" s="30"/>
      <c r="L44" s="28"/>
    </row>
    <row r="45" spans="1:13" s="9" customFormat="1" ht="15.65" customHeight="1" x14ac:dyDescent="0.2">
      <c r="A45" s="43"/>
      <c r="B45" s="93"/>
      <c r="C45" s="93"/>
      <c r="D45" s="93"/>
      <c r="E45" s="93"/>
      <c r="F45" s="94"/>
      <c r="G45" s="94"/>
      <c r="H45" s="94"/>
      <c r="I45" s="28"/>
      <c r="J45" s="28"/>
      <c r="K45" s="43" t="s">
        <v>179</v>
      </c>
      <c r="L45" s="6"/>
    </row>
    <row r="46" spans="1:13" s="9" customFormat="1" ht="15.65" customHeight="1" thickBot="1" x14ac:dyDescent="0.25">
      <c r="A46" s="43"/>
      <c r="B46" s="93" t="s">
        <v>61</v>
      </c>
      <c r="C46" s="93"/>
      <c r="D46" s="93"/>
      <c r="E46" s="93"/>
      <c r="F46" s="94"/>
      <c r="G46" s="94"/>
      <c r="H46" s="94"/>
      <c r="I46" s="28"/>
      <c r="J46" s="28"/>
      <c r="K46" s="43"/>
      <c r="L46" s="6"/>
      <c r="M46" s="6"/>
    </row>
    <row r="47" spans="1:13" s="9" customFormat="1" ht="15.75" customHeight="1" thickBot="1" x14ac:dyDescent="0.25">
      <c r="A47" s="95"/>
      <c r="B47" s="96" t="s">
        <v>62</v>
      </c>
      <c r="C47" s="97"/>
      <c r="D47" s="97"/>
      <c r="E47" s="98"/>
      <c r="F47" s="99"/>
      <c r="G47" s="100">
        <f>SUMIFS('明細（オンバラ）'!$E:$E,'明細（オンバラ）'!J:J,K47)</f>
        <v>227</v>
      </c>
      <c r="H47" s="101" t="s">
        <v>55</v>
      </c>
      <c r="I47" s="28"/>
      <c r="J47" s="28"/>
      <c r="K47" s="43">
        <v>2601</v>
      </c>
      <c r="L47" s="6"/>
      <c r="M47" s="6"/>
    </row>
    <row r="48" spans="1:13" s="9" customFormat="1" ht="15.75" customHeight="1" thickBot="1" x14ac:dyDescent="0.25">
      <c r="A48" s="43"/>
      <c r="B48" s="96" t="s">
        <v>63</v>
      </c>
      <c r="C48" s="97"/>
      <c r="D48" s="97"/>
      <c r="E48" s="102"/>
      <c r="F48" s="103"/>
      <c r="G48" s="100">
        <v>1145168</v>
      </c>
      <c r="H48" s="104" t="s">
        <v>55</v>
      </c>
      <c r="I48" s="28"/>
      <c r="J48" s="28"/>
      <c r="K48" s="43" t="s">
        <v>64</v>
      </c>
      <c r="L48" s="6"/>
      <c r="M48" s="6"/>
    </row>
    <row r="49" spans="1:14" ht="15.65" customHeight="1" thickBot="1" x14ac:dyDescent="0.25">
      <c r="A49" s="43"/>
      <c r="B49" s="93"/>
      <c r="C49" s="93"/>
      <c r="D49" s="93"/>
      <c r="E49" s="93"/>
      <c r="F49" s="94"/>
      <c r="G49" s="94"/>
      <c r="H49" s="94"/>
      <c r="I49" s="28"/>
      <c r="J49" s="28"/>
      <c r="K49" s="43"/>
    </row>
    <row r="50" spans="1:14" ht="15.65" customHeight="1" thickBot="1" x14ac:dyDescent="0.25">
      <c r="A50" s="43"/>
      <c r="B50" s="96" t="s">
        <v>66</v>
      </c>
      <c r="C50" s="97"/>
      <c r="D50" s="97"/>
      <c r="E50" s="102"/>
      <c r="F50" s="103"/>
      <c r="G50" s="100">
        <v>272935839</v>
      </c>
      <c r="H50" s="104" t="s">
        <v>55</v>
      </c>
      <c r="I50" s="28"/>
      <c r="J50" s="28"/>
      <c r="K50" s="43" t="s">
        <v>67</v>
      </c>
      <c r="M50" s="8"/>
    </row>
    <row r="51" spans="1:14" ht="15.65" customHeight="1" thickBot="1" x14ac:dyDescent="0.25">
      <c r="A51" s="43"/>
      <c r="B51" s="96" t="s">
        <v>68</v>
      </c>
      <c r="C51" s="97"/>
      <c r="D51" s="97"/>
      <c r="E51" s="102"/>
      <c r="F51" s="103"/>
      <c r="G51" s="100">
        <f>'明細（オンバラ）'!E77</f>
        <v>304085519</v>
      </c>
      <c r="H51" s="104" t="s">
        <v>55</v>
      </c>
      <c r="I51" s="28"/>
      <c r="J51" s="28"/>
      <c r="K51" s="28"/>
    </row>
    <row r="52" spans="1:14" ht="15.65" customHeight="1" thickBot="1" x14ac:dyDescent="0.25">
      <c r="A52" s="43"/>
      <c r="B52" s="96" t="s">
        <v>69</v>
      </c>
      <c r="C52" s="97"/>
      <c r="D52" s="97"/>
      <c r="E52" s="102"/>
      <c r="F52" s="103"/>
      <c r="G52" s="100">
        <f>SUMIFS('明細（オンバラ）'!$E$11:$E$39,'明細（オンバラ）'!$D$11:$D$39,'明細（オンバラ）'!$D$73)</f>
        <v>237335943</v>
      </c>
      <c r="H52" s="104" t="s">
        <v>55</v>
      </c>
      <c r="I52" s="28"/>
      <c r="J52" s="28"/>
      <c r="K52" s="28"/>
    </row>
    <row r="53" spans="1:14" ht="23.25" customHeight="1" thickBot="1" x14ac:dyDescent="0.25">
      <c r="A53" s="43"/>
      <c r="B53" s="96" t="s">
        <v>70</v>
      </c>
      <c r="C53" s="97"/>
      <c r="D53" s="97"/>
      <c r="E53" s="102"/>
      <c r="F53" s="103"/>
      <c r="G53" s="100">
        <f>G50+G51-G52-G47-G48</f>
        <v>338540020</v>
      </c>
      <c r="H53" s="104"/>
      <c r="I53" s="28"/>
      <c r="J53" s="28"/>
      <c r="K53" s="28"/>
    </row>
    <row r="54" spans="1:14" ht="15.65" customHeight="1" x14ac:dyDescent="0.2">
      <c r="A54" s="43"/>
      <c r="B54" s="93"/>
      <c r="C54" s="93"/>
      <c r="D54" s="93"/>
      <c r="E54" s="93"/>
      <c r="F54" s="94"/>
      <c r="G54" s="94"/>
      <c r="H54" s="94"/>
      <c r="I54" s="28"/>
      <c r="J54" s="28"/>
      <c r="K54" s="28"/>
      <c r="N54" s="6"/>
    </row>
    <row r="55" spans="1:14" ht="15.65" customHeight="1" x14ac:dyDescent="0.2">
      <c r="A55" s="93"/>
      <c r="B55" s="93"/>
      <c r="C55" s="93"/>
      <c r="D55" s="93"/>
      <c r="E55" s="93"/>
      <c r="F55" s="105" t="s">
        <v>7</v>
      </c>
      <c r="G55" s="94"/>
      <c r="H55" s="94"/>
      <c r="K55" s="6"/>
      <c r="N55" s="6"/>
    </row>
    <row r="56" spans="1:14" ht="15.65" customHeight="1" x14ac:dyDescent="0.2">
      <c r="A56" s="43"/>
      <c r="B56" s="93" t="s">
        <v>71</v>
      </c>
      <c r="C56" s="93"/>
      <c r="D56" s="93"/>
      <c r="E56" s="106"/>
      <c r="F56" s="107">
        <f>'RA表（オンバラ）'!H44+'RA表（オフバラ）'!H35</f>
        <v>323932108.23299998</v>
      </c>
      <c r="G56" s="94"/>
      <c r="H56" s="94"/>
      <c r="K56" s="6"/>
      <c r="N56" s="6"/>
    </row>
    <row r="57" spans="1:14" ht="15.65" customHeight="1" x14ac:dyDescent="0.2">
      <c r="A57" s="43"/>
      <c r="B57" s="93" t="s">
        <v>72</v>
      </c>
      <c r="C57" s="93"/>
      <c r="D57" s="93"/>
      <c r="E57" s="106"/>
      <c r="F57" s="107">
        <v>133158401</v>
      </c>
      <c r="G57" s="108"/>
      <c r="H57" s="108"/>
      <c r="K57" s="6"/>
      <c r="N57" s="6"/>
    </row>
    <row r="58" spans="1:14" ht="15.65" customHeight="1" x14ac:dyDescent="0.2">
      <c r="A58" s="43"/>
      <c r="B58" s="93" t="s">
        <v>73</v>
      </c>
      <c r="C58" s="93"/>
      <c r="D58" s="93"/>
      <c r="E58" s="106"/>
      <c r="F58" s="107">
        <f>F57+G51-G52</f>
        <v>199907977</v>
      </c>
      <c r="G58" s="94"/>
      <c r="H58" s="94"/>
      <c r="I58" s="28"/>
      <c r="J58" s="28"/>
      <c r="K58" s="28"/>
      <c r="N58" s="6"/>
    </row>
    <row r="59" spans="1:14" ht="25.5" customHeight="1" x14ac:dyDescent="0.2">
      <c r="A59" s="43"/>
      <c r="B59" s="109" t="s">
        <v>74</v>
      </c>
      <c r="C59" s="109"/>
      <c r="D59" s="109"/>
      <c r="E59" s="110"/>
      <c r="F59" s="111">
        <f>F56/F58</f>
        <v>1.6204061143242923</v>
      </c>
      <c r="G59" s="29"/>
      <c r="H59" s="94"/>
      <c r="I59" s="28"/>
      <c r="J59" s="28"/>
      <c r="K59" s="28"/>
      <c r="N59" s="6"/>
    </row>
    <row r="60" spans="1:14" ht="25.5" customHeight="1" x14ac:dyDescent="0.2">
      <c r="A60" s="43"/>
      <c r="B60" s="109"/>
      <c r="C60" s="109"/>
      <c r="D60" s="109"/>
      <c r="E60" s="109"/>
      <c r="F60" s="112" t="s">
        <v>7</v>
      </c>
      <c r="G60" s="29"/>
      <c r="H60" s="94"/>
      <c r="I60" s="28"/>
      <c r="J60" s="28"/>
      <c r="K60" s="28"/>
      <c r="N60" s="6"/>
    </row>
    <row r="61" spans="1:14" ht="15.65" customHeight="1" x14ac:dyDescent="0.2">
      <c r="A61" s="43"/>
      <c r="B61" s="93" t="s">
        <v>75</v>
      </c>
      <c r="C61" s="93"/>
      <c r="D61" s="93"/>
      <c r="E61" s="106"/>
      <c r="F61" s="113">
        <v>1251533</v>
      </c>
      <c r="G61" s="94"/>
      <c r="H61" s="94"/>
      <c r="I61" s="28"/>
      <c r="J61" s="28"/>
      <c r="K61" s="28"/>
      <c r="N61" s="6"/>
    </row>
    <row r="62" spans="1:14" ht="21.75" customHeight="1" x14ac:dyDescent="0.2">
      <c r="A62" s="43"/>
      <c r="B62" s="93" t="s">
        <v>76</v>
      </c>
      <c r="C62" s="93"/>
      <c r="D62" s="93"/>
      <c r="E62" s="106"/>
      <c r="F62" s="114">
        <f>ROUNDDOWN(G47/F61,0)</f>
        <v>0</v>
      </c>
      <c r="G62" s="94"/>
      <c r="H62" s="94"/>
      <c r="I62" s="28"/>
      <c r="J62" s="28"/>
      <c r="K62" s="28"/>
      <c r="N62" s="6"/>
    </row>
    <row r="63" spans="1:14" ht="15.65" customHeight="1" x14ac:dyDescent="0.2">
      <c r="A63" s="8"/>
      <c r="B63" s="93"/>
      <c r="C63" s="93"/>
      <c r="D63" s="93"/>
      <c r="E63" s="93"/>
      <c r="F63" s="94"/>
      <c r="G63" s="94"/>
      <c r="H63" s="94"/>
      <c r="I63" s="28"/>
      <c r="J63" s="28"/>
      <c r="K63" s="43"/>
      <c r="N63" s="6"/>
    </row>
    <row r="64" spans="1:14" ht="41.15" customHeight="1" x14ac:dyDescent="0.2">
      <c r="A64" s="115">
        <v>1</v>
      </c>
      <c r="B64" s="116" t="s">
        <v>77</v>
      </c>
      <c r="C64" s="116"/>
      <c r="D64" s="116"/>
      <c r="E64" s="116"/>
      <c r="F64" s="116"/>
      <c r="G64" s="116"/>
      <c r="H64" s="116"/>
      <c r="I64" s="93"/>
      <c r="J64" s="28"/>
      <c r="K64" s="43" t="s">
        <v>179</v>
      </c>
      <c r="N64" s="6"/>
    </row>
    <row r="65" spans="1:14" ht="75.75" customHeight="1" x14ac:dyDescent="0.2">
      <c r="A65" s="115">
        <v>2</v>
      </c>
      <c r="B65" s="116" t="s">
        <v>78</v>
      </c>
      <c r="C65" s="116"/>
      <c r="D65" s="116"/>
      <c r="E65" s="116"/>
      <c r="F65" s="116"/>
      <c r="G65" s="116"/>
      <c r="H65" s="116"/>
      <c r="I65" s="93"/>
      <c r="J65" s="28"/>
      <c r="K65" s="43" t="s">
        <v>179</v>
      </c>
      <c r="N65" s="6"/>
    </row>
    <row r="66" spans="1:14" ht="25.5" customHeight="1" x14ac:dyDescent="0.2">
      <c r="A66" s="115">
        <v>3</v>
      </c>
      <c r="B66" s="116" t="s">
        <v>79</v>
      </c>
      <c r="C66" s="116"/>
      <c r="D66" s="116"/>
      <c r="E66" s="116"/>
      <c r="F66" s="116"/>
      <c r="G66" s="116"/>
      <c r="H66" s="116"/>
      <c r="I66" s="93"/>
      <c r="J66" s="28"/>
      <c r="K66" s="43"/>
      <c r="N66" s="6"/>
    </row>
    <row r="67" spans="1:14" ht="57.75" customHeight="1" x14ac:dyDescent="0.2">
      <c r="A67" s="115">
        <v>4</v>
      </c>
      <c r="B67" s="116" t="s">
        <v>80</v>
      </c>
      <c r="C67" s="116"/>
      <c r="D67" s="116"/>
      <c r="E67" s="116"/>
      <c r="F67" s="116"/>
      <c r="G67" s="116"/>
      <c r="H67" s="116"/>
      <c r="I67" s="93"/>
      <c r="J67" s="28"/>
      <c r="K67" s="43"/>
      <c r="N67" s="6"/>
    </row>
    <row r="68" spans="1:14" ht="28.5" customHeight="1" x14ac:dyDescent="0.2">
      <c r="A68" s="115">
        <v>5</v>
      </c>
      <c r="B68" s="116" t="s">
        <v>81</v>
      </c>
      <c r="C68" s="116"/>
      <c r="D68" s="116"/>
      <c r="E68" s="116"/>
      <c r="F68" s="116"/>
      <c r="G68" s="116"/>
      <c r="H68" s="116"/>
      <c r="I68" s="93"/>
      <c r="J68" s="28"/>
      <c r="K68" s="43" t="s">
        <v>179</v>
      </c>
      <c r="N68" s="6"/>
    </row>
    <row r="69" spans="1:14" ht="12" customHeight="1" x14ac:dyDescent="0.2">
      <c r="A69" s="115">
        <v>6</v>
      </c>
      <c r="B69" s="116" t="s">
        <v>82</v>
      </c>
      <c r="C69" s="116"/>
      <c r="D69" s="116"/>
      <c r="E69" s="116"/>
      <c r="F69" s="116"/>
      <c r="G69" s="116"/>
      <c r="H69" s="116"/>
      <c r="I69" s="116"/>
      <c r="J69" s="28"/>
      <c r="K69" s="43" t="s">
        <v>179</v>
      </c>
      <c r="N69" s="6"/>
    </row>
    <row r="70" spans="1:14" ht="35.5" customHeight="1" x14ac:dyDescent="0.2">
      <c r="A70" s="115">
        <v>7</v>
      </c>
      <c r="B70" s="116" t="s">
        <v>83</v>
      </c>
      <c r="C70" s="116"/>
      <c r="D70" s="116"/>
      <c r="E70" s="116"/>
      <c r="F70" s="116"/>
      <c r="G70" s="116"/>
      <c r="H70" s="116"/>
      <c r="I70" s="116"/>
      <c r="J70" s="28"/>
      <c r="K70" s="43" t="s">
        <v>179</v>
      </c>
      <c r="N70" s="6"/>
    </row>
    <row r="71" spans="1:14" ht="18.649999999999999" customHeight="1" x14ac:dyDescent="0.2">
      <c r="A71" s="115">
        <v>8</v>
      </c>
      <c r="B71" s="116" t="s">
        <v>84</v>
      </c>
      <c r="C71" s="116"/>
      <c r="D71" s="116"/>
      <c r="E71" s="116"/>
      <c r="F71" s="116"/>
      <c r="G71" s="116"/>
      <c r="H71" s="116"/>
      <c r="I71" s="116"/>
      <c r="J71" s="28"/>
      <c r="K71" s="43" t="s">
        <v>179</v>
      </c>
      <c r="N71" s="6"/>
    </row>
    <row r="72" spans="1:14" ht="18" customHeight="1" x14ac:dyDescent="0.2">
      <c r="A72" s="115">
        <v>9</v>
      </c>
      <c r="B72" s="116" t="s">
        <v>85</v>
      </c>
      <c r="C72" s="116"/>
      <c r="D72" s="116"/>
      <c r="E72" s="116"/>
      <c r="F72" s="116"/>
      <c r="G72" s="116"/>
      <c r="H72" s="116"/>
      <c r="I72" s="116"/>
      <c r="J72" s="28"/>
      <c r="K72" s="43" t="s">
        <v>179</v>
      </c>
      <c r="N72" s="6"/>
    </row>
    <row r="73" spans="1:14" ht="18" customHeight="1" x14ac:dyDescent="0.2">
      <c r="A73" s="115">
        <v>10</v>
      </c>
      <c r="B73" s="116" t="s">
        <v>86</v>
      </c>
      <c r="C73" s="116"/>
      <c r="D73" s="116"/>
      <c r="E73" s="116"/>
      <c r="F73" s="116"/>
      <c r="G73" s="116"/>
      <c r="H73" s="116"/>
      <c r="I73" s="116"/>
      <c r="J73" s="28"/>
      <c r="K73" s="43" t="s">
        <v>179</v>
      </c>
    </row>
    <row r="74" spans="1:14" ht="33.75" customHeight="1" x14ac:dyDescent="0.2">
      <c r="A74" s="115">
        <v>11</v>
      </c>
      <c r="B74" s="116" t="s">
        <v>87</v>
      </c>
      <c r="C74" s="116"/>
      <c r="D74" s="116"/>
      <c r="E74" s="116"/>
      <c r="F74" s="116"/>
      <c r="G74" s="116"/>
      <c r="H74" s="116"/>
      <c r="I74" s="116"/>
      <c r="J74" s="28"/>
      <c r="K74" s="43" t="s">
        <v>179</v>
      </c>
    </row>
    <row r="75" spans="1:14" ht="18" customHeight="1" x14ac:dyDescent="0.2">
      <c r="A75" s="115">
        <v>12</v>
      </c>
      <c r="B75" s="116" t="s">
        <v>88</v>
      </c>
      <c r="C75" s="116"/>
      <c r="D75" s="116"/>
      <c r="E75" s="116"/>
      <c r="F75" s="116"/>
      <c r="G75" s="116"/>
      <c r="H75" s="116"/>
      <c r="I75" s="116"/>
      <c r="J75" s="28"/>
      <c r="K75" s="43" t="s">
        <v>179</v>
      </c>
    </row>
    <row r="76" spans="1:14" ht="18" customHeight="1" x14ac:dyDescent="0.2">
      <c r="A76" s="115">
        <v>13</v>
      </c>
      <c r="B76" s="116" t="s">
        <v>89</v>
      </c>
      <c r="C76" s="116"/>
      <c r="D76" s="116"/>
      <c r="E76" s="116"/>
      <c r="F76" s="116"/>
      <c r="G76" s="116"/>
      <c r="H76" s="116"/>
      <c r="I76" s="116"/>
      <c r="J76" s="28"/>
      <c r="K76" s="43" t="s">
        <v>179</v>
      </c>
    </row>
    <row r="77" spans="1:14" ht="15.65" customHeight="1" x14ac:dyDescent="0.2">
      <c r="A77" s="115"/>
      <c r="B77" s="116"/>
      <c r="C77" s="116"/>
      <c r="D77" s="116"/>
      <c r="E77" s="116"/>
      <c r="F77" s="116"/>
      <c r="G77" s="116"/>
      <c r="H77" s="116"/>
      <c r="I77" s="116"/>
      <c r="J77" s="28"/>
      <c r="K77" s="43"/>
    </row>
    <row r="78" spans="1:14" ht="15.65" customHeight="1" x14ac:dyDescent="0.2">
      <c r="A78" s="115"/>
      <c r="B78" s="116"/>
      <c r="C78" s="116"/>
      <c r="D78" s="116"/>
      <c r="E78" s="116"/>
      <c r="F78" s="116"/>
      <c r="G78" s="116"/>
      <c r="H78" s="116"/>
      <c r="I78" s="116"/>
      <c r="J78" s="28"/>
      <c r="K78" s="43"/>
    </row>
    <row r="79" spans="1:14" ht="15.65" customHeight="1" x14ac:dyDescent="0.2">
      <c r="A79" s="115"/>
      <c r="B79" s="116"/>
      <c r="C79" s="116"/>
      <c r="D79" s="116"/>
      <c r="E79" s="116"/>
      <c r="F79" s="116"/>
      <c r="G79" s="116"/>
      <c r="H79" s="116"/>
      <c r="I79" s="116"/>
      <c r="J79" s="28"/>
      <c r="K79" s="43"/>
    </row>
    <row r="80" spans="1:14" ht="15.65" customHeight="1" x14ac:dyDescent="0.2">
      <c r="A80" s="115"/>
      <c r="B80" s="116"/>
      <c r="C80" s="116"/>
      <c r="D80" s="116"/>
      <c r="E80" s="116"/>
      <c r="F80" s="116"/>
      <c r="G80" s="116"/>
      <c r="H80" s="116"/>
      <c r="I80" s="116"/>
      <c r="J80" s="28"/>
      <c r="K80" s="43"/>
    </row>
    <row r="81" spans="2:11" ht="24" customHeight="1" x14ac:dyDescent="0.2">
      <c r="B81" s="28"/>
      <c r="C81" s="28"/>
      <c r="D81" s="28"/>
      <c r="E81" s="28"/>
      <c r="F81" s="117"/>
      <c r="G81" s="28"/>
      <c r="H81" s="118"/>
      <c r="I81" s="28"/>
      <c r="J81" s="28"/>
      <c r="K81" s="43"/>
    </row>
  </sheetData>
  <protectedRanges>
    <protectedRange password="CC7D" sqref="G13:H28 G30:H34 A64:H66 G37:H43 A67:A76 B67:H75" name="入力1"/>
    <protectedRange password="CC7D" sqref="G47:H48 G50:H52" name="入力1_1"/>
    <protectedRange password="CC7D" sqref="C5:F5" name="入力1_3"/>
    <protectedRange password="CC7D" sqref="C3:F4" name="入力1_2_1"/>
  </protectedRanges>
  <mergeCells count="36">
    <mergeCell ref="B75:I75"/>
    <mergeCell ref="B76:I76"/>
    <mergeCell ref="B77:I77"/>
    <mergeCell ref="B78:I78"/>
    <mergeCell ref="B79:I79"/>
    <mergeCell ref="B80:I80"/>
    <mergeCell ref="B69:I69"/>
    <mergeCell ref="B70:I70"/>
    <mergeCell ref="B71:I71"/>
    <mergeCell ref="B72:I72"/>
    <mergeCell ref="B73:I73"/>
    <mergeCell ref="B74:I74"/>
    <mergeCell ref="B53:D53"/>
    <mergeCell ref="B64:H64"/>
    <mergeCell ref="B65:H65"/>
    <mergeCell ref="B66:H66"/>
    <mergeCell ref="B67:H67"/>
    <mergeCell ref="B68:H68"/>
    <mergeCell ref="B43:D43"/>
    <mergeCell ref="B47:D47"/>
    <mergeCell ref="B48:D48"/>
    <mergeCell ref="B50:D50"/>
    <mergeCell ref="B51:D51"/>
    <mergeCell ref="B52:D52"/>
    <mergeCell ref="B37:D37"/>
    <mergeCell ref="B38:D38"/>
    <mergeCell ref="B39:D39"/>
    <mergeCell ref="B40:D40"/>
    <mergeCell ref="B41:D41"/>
    <mergeCell ref="B42:D42"/>
    <mergeCell ref="C3:F3"/>
    <mergeCell ref="C5:F5"/>
    <mergeCell ref="A11:A12"/>
    <mergeCell ref="B11:D12"/>
    <mergeCell ref="E11:E12"/>
    <mergeCell ref="B36:D36"/>
  </mergeCells>
  <phoneticPr fontId="4"/>
  <pageMargins left="0.70866141732283472" right="0.70866141732283472" top="0.74803149606299213" bottom="0.74803149606299213" header="0.31496062992125984" footer="0.31496062992125984"/>
  <pageSetup paperSize="8" scale="54" orientation="portrait" r:id="rId1"/>
  <headerFooter>
    <oddHeader xml:space="preserve">&amp;C
&amp;G
</oddHeader>
  </headerFooter>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336550</xdr:colOff>
                    <xdr:row>0</xdr:row>
                    <xdr:rowOff>0</xdr:rowOff>
                  </from>
                  <to>
                    <xdr:col>2</xdr:col>
                    <xdr:colOff>565150</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63E0-6E87-4028-8C5E-9B0353703471}">
  <sheetPr>
    <tabColor theme="9" tint="0.79998168889431442"/>
    <pageSetUpPr fitToPage="1"/>
  </sheetPr>
  <dimension ref="A1:M47"/>
  <sheetViews>
    <sheetView view="pageBreakPreview" zoomScale="60" zoomScaleNormal="85" workbookViewId="0">
      <selection activeCell="L24" sqref="L24"/>
    </sheetView>
  </sheetViews>
  <sheetFormatPr defaultColWidth="4.453125" defaultRowHeight="24" customHeight="1" x14ac:dyDescent="0.2"/>
  <cols>
    <col min="1" max="1" width="7.08984375" style="28" customWidth="1"/>
    <col min="2" max="2" width="11.08984375" style="28" customWidth="1"/>
    <col min="3" max="3" width="37.453125" style="28" customWidth="1"/>
    <col min="4" max="5" width="16.08984375" style="28" customWidth="1"/>
    <col min="6" max="6" width="18.90625" style="28" customWidth="1"/>
    <col min="7" max="7" width="16.08984375" style="28" customWidth="1"/>
    <col min="8" max="8" width="16.08984375" style="118" customWidth="1"/>
    <col min="9" max="9" width="0.453125" style="28" customWidth="1"/>
    <col min="10" max="10" width="4.453125" style="28"/>
    <col min="11" max="11" width="9.90625" style="28" customWidth="1"/>
    <col min="12" max="16384" width="4.453125" style="28"/>
  </cols>
  <sheetData>
    <row r="1" spans="1:13" ht="22.5" customHeight="1" x14ac:dyDescent="0.2">
      <c r="A1" s="120" t="s">
        <v>90</v>
      </c>
      <c r="B1" s="121"/>
      <c r="C1" s="121"/>
      <c r="D1" s="121"/>
      <c r="E1" s="122"/>
      <c r="F1" s="121"/>
      <c r="G1" s="121"/>
      <c r="H1" s="123"/>
    </row>
    <row r="2" spans="1:13" s="32" customFormat="1" ht="22.5" customHeight="1" thickBot="1" x14ac:dyDescent="0.25">
      <c r="A2" s="28"/>
      <c r="B2" s="28"/>
      <c r="C2" s="28"/>
      <c r="D2" s="28"/>
      <c r="E2" s="29"/>
      <c r="F2" s="123"/>
      <c r="G2" s="123"/>
      <c r="H2" s="123"/>
      <c r="I2" s="123"/>
      <c r="J2" s="123"/>
    </row>
    <row r="3" spans="1:13" s="32" customFormat="1" ht="22.5" customHeight="1" thickBot="1" x14ac:dyDescent="0.25">
      <c r="A3" s="28"/>
      <c r="B3" s="124" t="s">
        <v>91</v>
      </c>
      <c r="C3" s="125" t="str">
        <f>'RA表（オンバラ）'!C3</f>
        <v>平和不動産リート投資法人</v>
      </c>
      <c r="D3" s="126"/>
      <c r="E3" s="127"/>
      <c r="F3" s="123"/>
      <c r="G3" s="123"/>
      <c r="H3" s="123"/>
      <c r="I3" s="123"/>
      <c r="J3" s="123"/>
    </row>
    <row r="4" spans="1:13" s="32" customFormat="1" ht="22.5" customHeight="1" thickBot="1" x14ac:dyDescent="0.25">
      <c r="A4" s="28"/>
      <c r="B4" s="128" t="s">
        <v>92</v>
      </c>
      <c r="C4" s="129">
        <f>'RA表（オンバラ）'!C5</f>
        <v>45991</v>
      </c>
      <c r="D4" s="130"/>
      <c r="E4" s="131"/>
      <c r="F4" s="123"/>
      <c r="G4" s="123"/>
      <c r="H4" s="123"/>
      <c r="I4" s="123"/>
      <c r="J4" s="123"/>
    </row>
    <row r="5" spans="1:13" s="32" customFormat="1" ht="22.5" customHeight="1" x14ac:dyDescent="0.2">
      <c r="A5" s="28"/>
      <c r="B5" s="28"/>
      <c r="C5" s="28"/>
      <c r="D5" s="28"/>
      <c r="E5" s="29"/>
      <c r="F5" s="123"/>
      <c r="G5" s="123"/>
      <c r="H5" s="123"/>
      <c r="I5" s="123"/>
      <c r="J5" s="123"/>
    </row>
    <row r="6" spans="1:13" s="32" customFormat="1" ht="22.5" customHeight="1" x14ac:dyDescent="0.2">
      <c r="A6" s="28"/>
      <c r="B6" s="28"/>
      <c r="C6" s="28"/>
      <c r="D6" s="28"/>
      <c r="E6" s="28"/>
      <c r="F6" s="123"/>
      <c r="G6" s="123"/>
      <c r="H6" s="123"/>
      <c r="I6" s="123"/>
      <c r="J6" s="123"/>
    </row>
    <row r="7" spans="1:13" s="32" customFormat="1" ht="22.5" customHeight="1" x14ac:dyDescent="0.2">
      <c r="A7" s="28"/>
      <c r="B7" s="28"/>
      <c r="C7" s="28"/>
      <c r="D7" s="28"/>
      <c r="E7" s="30"/>
      <c r="F7" s="123"/>
      <c r="G7" s="123"/>
      <c r="H7" s="123"/>
      <c r="I7" s="123"/>
      <c r="J7" s="123"/>
    </row>
    <row r="8" spans="1:13" s="32" customFormat="1" ht="22.5" customHeight="1" x14ac:dyDescent="0.2">
      <c r="A8" s="28"/>
      <c r="B8" s="28"/>
      <c r="C8" s="28"/>
      <c r="D8" s="28"/>
      <c r="E8" s="30"/>
      <c r="F8" s="123"/>
      <c r="G8" s="123"/>
      <c r="H8" s="123"/>
      <c r="I8" s="123"/>
      <c r="J8" s="123"/>
    </row>
    <row r="9" spans="1:13" s="32" customFormat="1" ht="22.5" customHeight="1" thickBot="1" x14ac:dyDescent="0.25">
      <c r="A9" s="28" t="s">
        <v>93</v>
      </c>
      <c r="B9" s="28"/>
      <c r="C9" s="28"/>
      <c r="D9" s="28"/>
      <c r="E9" s="29"/>
      <c r="F9" s="28"/>
      <c r="G9" s="28"/>
      <c r="H9" s="34" t="s">
        <v>7</v>
      </c>
      <c r="I9" s="28"/>
      <c r="J9" s="28"/>
    </row>
    <row r="10" spans="1:13" ht="22.5" customHeight="1" x14ac:dyDescent="0.2">
      <c r="A10" s="35" t="s">
        <v>8</v>
      </c>
      <c r="B10" s="36" t="s">
        <v>9</v>
      </c>
      <c r="C10" s="37"/>
      <c r="D10" s="38"/>
      <c r="E10" s="39" t="s">
        <v>94</v>
      </c>
      <c r="F10" s="41"/>
      <c r="G10" s="41"/>
      <c r="H10" s="42"/>
    </row>
    <row r="11" spans="1:13" ht="37" customHeight="1" thickBot="1" x14ac:dyDescent="0.25">
      <c r="A11" s="44"/>
      <c r="B11" s="45"/>
      <c r="C11" s="46"/>
      <c r="D11" s="46"/>
      <c r="E11" s="47"/>
      <c r="F11" s="49" t="s">
        <v>95</v>
      </c>
      <c r="G11" s="132" t="s">
        <v>96</v>
      </c>
      <c r="H11" s="50" t="s">
        <v>97</v>
      </c>
      <c r="K11" s="28" t="s">
        <v>15</v>
      </c>
      <c r="L11" s="28" t="s">
        <v>16</v>
      </c>
    </row>
    <row r="12" spans="1:13" ht="27" customHeight="1" thickTop="1" x14ac:dyDescent="0.2">
      <c r="A12" s="51">
        <v>1</v>
      </c>
      <c r="B12" s="133" t="s">
        <v>98</v>
      </c>
      <c r="C12" s="134"/>
      <c r="D12" s="135"/>
      <c r="E12" s="54">
        <v>10</v>
      </c>
      <c r="F12" s="56">
        <f>SUMIFS('明細（オフバラ）'!E:E,'明細（オフバラ）'!N:N,K12)</f>
        <v>0</v>
      </c>
      <c r="G12" s="136">
        <f>SUMIFS('明細（オフバラ）'!H:H,'明細（オフバラ）'!N:N,K12)</f>
        <v>0</v>
      </c>
      <c r="H12" s="57">
        <f>SUMIFS('明細（オフバラ）'!G:G,'明細（オフバラ）'!N:N,K12)</f>
        <v>0</v>
      </c>
      <c r="I12" s="28">
        <f t="shared" ref="I12:I34" si="0">IFERROR(H12/$F$35*100,"")</f>
        <v>0</v>
      </c>
      <c r="K12" s="28">
        <v>1000101</v>
      </c>
    </row>
    <row r="13" spans="1:13" ht="26.25" customHeight="1" x14ac:dyDescent="0.2">
      <c r="A13" s="58">
        <v>2</v>
      </c>
      <c r="B13" s="59" t="s">
        <v>99</v>
      </c>
      <c r="C13" s="59"/>
      <c r="D13" s="60"/>
      <c r="E13" s="61">
        <v>20</v>
      </c>
      <c r="F13" s="56">
        <f>SUMIFS('明細（オフバラ）'!E:E,'明細（オフバラ）'!N:N,K13)</f>
        <v>0</v>
      </c>
      <c r="G13" s="136">
        <f>SUMIFS('明細（オフバラ）'!H:H,'明細（オフバラ）'!N:N,K13)</f>
        <v>0</v>
      </c>
      <c r="H13" s="62">
        <f>SUMIFS('明細（オフバラ）'!G:G,'明細（オフバラ）'!N:N,K13)</f>
        <v>0</v>
      </c>
      <c r="I13" s="28">
        <f t="shared" si="0"/>
        <v>0</v>
      </c>
      <c r="K13" s="28">
        <v>2000101</v>
      </c>
    </row>
    <row r="14" spans="1:13" ht="26.25" customHeight="1" x14ac:dyDescent="0.2">
      <c r="A14" s="58">
        <v>3</v>
      </c>
      <c r="B14" s="59" t="s">
        <v>100</v>
      </c>
      <c r="C14" s="59"/>
      <c r="D14" s="60"/>
      <c r="E14" s="61">
        <v>40</v>
      </c>
      <c r="F14" s="56">
        <f>SUMIFS('明細（オフバラ）'!E:E,'明細（オフバラ）'!N:N,K14)</f>
        <v>0</v>
      </c>
      <c r="G14" s="136">
        <f>SUMIFS('明細（オフバラ）'!H:H,'明細（オフバラ）'!N:N,K14)</f>
        <v>0</v>
      </c>
      <c r="H14" s="62">
        <f>SUMIFS('明細（オフバラ）'!G:G,'明細（オフバラ）'!N:N,K14)</f>
        <v>0</v>
      </c>
      <c r="I14" s="28">
        <f t="shared" si="0"/>
        <v>0</v>
      </c>
      <c r="K14" s="28">
        <v>3000101</v>
      </c>
    </row>
    <row r="15" spans="1:13" ht="26.25" customHeight="1" x14ac:dyDescent="0.2">
      <c r="A15" s="58">
        <v>4</v>
      </c>
      <c r="B15" s="59" t="s">
        <v>101</v>
      </c>
      <c r="C15" s="59"/>
      <c r="D15" s="60"/>
      <c r="E15" s="61">
        <v>50</v>
      </c>
      <c r="F15" s="56">
        <f>SUMIFS('明細（オフバラ）'!E:E,'明細（オフバラ）'!N:N,K15)</f>
        <v>0</v>
      </c>
      <c r="G15" s="136">
        <f>SUMIFS('明細（オフバラ）'!H:H,'明細（オフバラ）'!N:N,K15)</f>
        <v>0</v>
      </c>
      <c r="H15" s="62">
        <f>SUMIFS('明細（オフバラ）'!G:G,'明細（オフバラ）'!N:N,K15)</f>
        <v>0</v>
      </c>
      <c r="I15" s="28">
        <f t="shared" si="0"/>
        <v>0</v>
      </c>
      <c r="K15" s="28">
        <v>4000101</v>
      </c>
      <c r="M15" s="94"/>
    </row>
    <row r="16" spans="1:13" ht="26.25" customHeight="1" x14ac:dyDescent="0.2">
      <c r="A16" s="58">
        <v>5</v>
      </c>
      <c r="B16" s="59" t="s">
        <v>102</v>
      </c>
      <c r="C16" s="59"/>
      <c r="D16" s="60"/>
      <c r="E16" s="61">
        <v>50</v>
      </c>
      <c r="F16" s="56">
        <f>SUMIFS('明細（オフバラ）'!E:E,'明細（オフバラ）'!N:N,K16)</f>
        <v>0</v>
      </c>
      <c r="G16" s="136">
        <f>SUMIFS('明細（オフバラ）'!H:H,'明細（オフバラ）'!N:N,K16)</f>
        <v>0</v>
      </c>
      <c r="H16" s="62">
        <f>SUMIFS('明細（オフバラ）'!G:G,'明細（オフバラ）'!N:N,K16)</f>
        <v>0</v>
      </c>
      <c r="I16" s="28">
        <f t="shared" si="0"/>
        <v>0</v>
      </c>
      <c r="K16" s="28">
        <v>5000101</v>
      </c>
    </row>
    <row r="17" spans="1:11" ht="26.25" customHeight="1" x14ac:dyDescent="0.2">
      <c r="A17" s="137">
        <v>6</v>
      </c>
      <c r="B17" s="59" t="s">
        <v>103</v>
      </c>
      <c r="C17" s="59"/>
      <c r="D17" s="60"/>
      <c r="E17" s="61">
        <v>100</v>
      </c>
      <c r="F17" s="56">
        <f>SUMIFS('明細（オフバラ）'!E:E,'明細（オフバラ）'!N:N,K17)</f>
        <v>0</v>
      </c>
      <c r="G17" s="136">
        <f>SUMIFS('明細（オフバラ）'!H:H,'明細（オフバラ）'!N:N,K17)</f>
        <v>0</v>
      </c>
      <c r="H17" s="62">
        <f>SUMIFS('明細（オフバラ）'!G:G,'明細（オフバラ）'!N:N,K17)</f>
        <v>0</v>
      </c>
      <c r="I17" s="28">
        <f t="shared" si="0"/>
        <v>0</v>
      </c>
      <c r="K17" s="28">
        <v>6000101</v>
      </c>
    </row>
    <row r="18" spans="1:11" ht="36" customHeight="1" x14ac:dyDescent="0.2">
      <c r="A18" s="58">
        <v>7</v>
      </c>
      <c r="B18" s="70" t="s">
        <v>104</v>
      </c>
      <c r="C18" s="71"/>
      <c r="D18" s="138"/>
      <c r="E18" s="61">
        <v>100</v>
      </c>
      <c r="F18" s="56">
        <f>SUMIFS('明細（オフバラ）'!E:E,'明細（オフバラ）'!N:N,K18)</f>
        <v>0</v>
      </c>
      <c r="G18" s="136">
        <f>SUMIFS('明細（オフバラ）'!H:H,'明細（オフバラ）'!N:N,K18)</f>
        <v>0</v>
      </c>
      <c r="H18" s="62">
        <f>SUMIFS('明細（オフバラ）'!G:G,'明細（オフバラ）'!N:N,K18)</f>
        <v>0</v>
      </c>
      <c r="I18" s="28">
        <f t="shared" si="0"/>
        <v>0</v>
      </c>
      <c r="K18" s="28">
        <v>7000101</v>
      </c>
    </row>
    <row r="19" spans="1:11" ht="26.25" customHeight="1" x14ac:dyDescent="0.2">
      <c r="A19" s="58">
        <v>8</v>
      </c>
      <c r="B19" s="59" t="s">
        <v>105</v>
      </c>
      <c r="C19" s="59"/>
      <c r="D19" s="60"/>
      <c r="E19" s="61">
        <v>100</v>
      </c>
      <c r="F19" s="56">
        <f>SUMIFS('明細（オフバラ）'!E:E,'明細（オフバラ）'!N:N,K19)</f>
        <v>0</v>
      </c>
      <c r="G19" s="136">
        <f>SUMIFS('明細（オフバラ）'!H:H,'明細（オフバラ）'!N:N,K19)</f>
        <v>0</v>
      </c>
      <c r="H19" s="62">
        <f>SUMIFS('明細（オフバラ）'!G:G,'明細（オフバラ）'!N:N,K19)</f>
        <v>0</v>
      </c>
      <c r="I19" s="28">
        <f t="shared" si="0"/>
        <v>0</v>
      </c>
      <c r="K19" s="28">
        <v>8000101</v>
      </c>
    </row>
    <row r="20" spans="1:11" ht="26.25" customHeight="1" x14ac:dyDescent="0.2">
      <c r="A20" s="64">
        <v>9</v>
      </c>
      <c r="B20" s="59" t="s">
        <v>106</v>
      </c>
      <c r="C20" s="59"/>
      <c r="D20" s="60"/>
      <c r="E20" s="61">
        <v>100</v>
      </c>
      <c r="F20" s="56">
        <f>SUMIFS('明細（オフバラ）'!E:E,'明細（オフバラ）'!N:N,K20)</f>
        <v>0</v>
      </c>
      <c r="G20" s="136">
        <f>SUMIFS('明細（オフバラ）'!H:H,'明細（オフバラ）'!N:N,K20)</f>
        <v>0</v>
      </c>
      <c r="H20" s="62">
        <f>SUMIFS('明細（オフバラ）'!G:G,'明細（オフバラ）'!N:N,K20)</f>
        <v>0</v>
      </c>
      <c r="I20" s="28">
        <f t="shared" si="0"/>
        <v>0</v>
      </c>
      <c r="K20" s="28">
        <v>9000101</v>
      </c>
    </row>
    <row r="21" spans="1:11" ht="26.25" customHeight="1" x14ac:dyDescent="0.2">
      <c r="A21" s="63">
        <v>10</v>
      </c>
      <c r="B21" s="70" t="s">
        <v>107</v>
      </c>
      <c r="C21" s="71"/>
      <c r="D21" s="138"/>
      <c r="E21" s="61">
        <v>100</v>
      </c>
      <c r="F21" s="56">
        <f>SUMIFS('明細（オフバラ）'!E:E,'明細（オフバラ）'!N:N,K21)</f>
        <v>0</v>
      </c>
      <c r="G21" s="136">
        <f>SUMIFS('明細（オフバラ）'!H:H,'明細（オフバラ）'!N:N,K21)</f>
        <v>0</v>
      </c>
      <c r="H21" s="62">
        <f>SUMIFS('明細（オフバラ）'!G:G,'明細（オフバラ）'!N:N,K21)</f>
        <v>0</v>
      </c>
      <c r="I21" s="28">
        <f t="shared" si="0"/>
        <v>0</v>
      </c>
      <c r="K21" s="28">
        <v>100001</v>
      </c>
    </row>
    <row r="22" spans="1:11" ht="26.25" customHeight="1" x14ac:dyDescent="0.2">
      <c r="A22" s="63">
        <v>11</v>
      </c>
      <c r="B22" s="59" t="s">
        <v>108</v>
      </c>
      <c r="C22" s="59"/>
      <c r="D22" s="60"/>
      <c r="E22" s="61" t="s">
        <v>55</v>
      </c>
      <c r="F22" s="65">
        <f>SUMIFS('明細（オフバラ）'!E:E,'明細（オフバラ）'!N:N,K22)</f>
        <v>0</v>
      </c>
      <c r="G22" s="136">
        <f>SUMIFS('明細（オフバラ）'!H:H,'明細（オフバラ）'!N:N,K22)</f>
        <v>0</v>
      </c>
      <c r="H22" s="62">
        <f>SUMIFS('明細（オフバラ）'!G:G,'明細（オフバラ）'!N:N,K22)</f>
        <v>0</v>
      </c>
      <c r="I22" s="28">
        <f t="shared" si="0"/>
        <v>0</v>
      </c>
      <c r="K22" s="28">
        <v>110001</v>
      </c>
    </row>
    <row r="23" spans="1:11" ht="26.25" customHeight="1" x14ac:dyDescent="0.2">
      <c r="A23" s="139" t="s">
        <v>109</v>
      </c>
      <c r="B23" s="59" t="s">
        <v>110</v>
      </c>
      <c r="C23" s="59"/>
      <c r="D23" s="60"/>
      <c r="E23" s="61" t="s">
        <v>55</v>
      </c>
      <c r="F23" s="56">
        <f>SUMIFS('明細（オフバラ）'!E:E,'明細（オフバラ）'!N:N,K23)</f>
        <v>0</v>
      </c>
      <c r="G23" s="136">
        <f>SUMIFS('明細（オフバラ）'!H:H,'明細（オフバラ）'!N:N,K23)</f>
        <v>0</v>
      </c>
      <c r="H23" s="62">
        <f>SUMIFS('明細（オフバラ）'!G:G,'明細（オフバラ）'!N:N,K23)</f>
        <v>0</v>
      </c>
      <c r="I23" s="28">
        <f t="shared" si="0"/>
        <v>0</v>
      </c>
      <c r="K23" s="28">
        <v>110002</v>
      </c>
    </row>
    <row r="24" spans="1:11" ht="26.25" customHeight="1" x14ac:dyDescent="0.2">
      <c r="A24" s="139" t="s">
        <v>111</v>
      </c>
      <c r="B24" s="59" t="s">
        <v>112</v>
      </c>
      <c r="C24" s="59"/>
      <c r="D24" s="60"/>
      <c r="E24" s="61" t="s">
        <v>55</v>
      </c>
      <c r="F24" s="56">
        <f>SUMIFS('明細（オフバラ）'!E:E,'明細（オフバラ）'!N:N,K24)</f>
        <v>67701200</v>
      </c>
      <c r="G24" s="136">
        <f>SUMIFS('明細（オフバラ）'!H:H,'明細（オフバラ）'!N:N,K24)</f>
        <v>2291046.2294999994</v>
      </c>
      <c r="H24" s="62">
        <f>SUMIFS('明細（オフバラ）'!G:G,'明細（オフバラ）'!N:N,K24)</f>
        <v>593201.43300000008</v>
      </c>
      <c r="I24" s="28">
        <f t="shared" si="0"/>
        <v>0.87620519724908885</v>
      </c>
      <c r="K24" s="28">
        <v>110003</v>
      </c>
    </row>
    <row r="25" spans="1:11" ht="26.25" customHeight="1" x14ac:dyDescent="0.2">
      <c r="A25" s="139" t="s">
        <v>114</v>
      </c>
      <c r="B25" s="59" t="s">
        <v>115</v>
      </c>
      <c r="C25" s="59"/>
      <c r="D25" s="60"/>
      <c r="E25" s="61" t="s">
        <v>55</v>
      </c>
      <c r="F25" s="56">
        <f>SUMIFS('明細（オフバラ）'!E:E,'明細（オフバラ）'!N:N,K25)</f>
        <v>0</v>
      </c>
      <c r="G25" s="136">
        <f>SUMIFS('明細（オフバラ）'!H:H,'明細（オフバラ）'!N:N,K25)</f>
        <v>0</v>
      </c>
      <c r="H25" s="62">
        <f>SUMIFS('明細（オフバラ）'!G:G,'明細（オフバラ）'!N:N,K25)</f>
        <v>0</v>
      </c>
      <c r="I25" s="28">
        <f t="shared" si="0"/>
        <v>0</v>
      </c>
      <c r="K25" s="28">
        <v>110004</v>
      </c>
    </row>
    <row r="26" spans="1:11" ht="26.25" customHeight="1" x14ac:dyDescent="0.2">
      <c r="A26" s="139" t="s">
        <v>116</v>
      </c>
      <c r="B26" s="59" t="s">
        <v>117</v>
      </c>
      <c r="C26" s="59"/>
      <c r="D26" s="60"/>
      <c r="E26" s="61" t="s">
        <v>55</v>
      </c>
      <c r="F26" s="56">
        <f>SUMIFS('明細（オフバラ）'!E:E,'明細（オフバラ）'!N:N,K26)</f>
        <v>0</v>
      </c>
      <c r="G26" s="136">
        <f>SUMIFS('明細（オフバラ）'!H:H,'明細（オフバラ）'!N:N,K26)</f>
        <v>0</v>
      </c>
      <c r="H26" s="62">
        <f>SUMIFS('明細（オフバラ）'!G:G,'明細（オフバラ）'!N:N,K26)</f>
        <v>0</v>
      </c>
      <c r="I26" s="28">
        <f t="shared" si="0"/>
        <v>0</v>
      </c>
      <c r="K26" s="28">
        <v>110005</v>
      </c>
    </row>
    <row r="27" spans="1:11" ht="26.25" customHeight="1" x14ac:dyDescent="0.2">
      <c r="A27" s="139" t="s">
        <v>118</v>
      </c>
      <c r="B27" s="59" t="s">
        <v>119</v>
      </c>
      <c r="C27" s="59"/>
      <c r="D27" s="60"/>
      <c r="E27" s="61" t="s">
        <v>50</v>
      </c>
      <c r="F27" s="56">
        <f>SUMIFS('明細（オフバラ）'!E:E,'明細（オフバラ）'!N:N,K27)</f>
        <v>0</v>
      </c>
      <c r="G27" s="136">
        <f>SUMIFS('明細（オフバラ）'!H:H,'明細（オフバラ）'!N:N,K27)</f>
        <v>0</v>
      </c>
      <c r="H27" s="62">
        <f>SUMIFS('明細（オフバラ）'!G:G,'明細（オフバラ）'!N:N,K27)</f>
        <v>0</v>
      </c>
      <c r="I27" s="28">
        <f t="shared" si="0"/>
        <v>0</v>
      </c>
      <c r="K27" s="28">
        <v>110006</v>
      </c>
    </row>
    <row r="28" spans="1:11" ht="26.25" customHeight="1" x14ac:dyDescent="0.2">
      <c r="A28" s="139" t="s">
        <v>120</v>
      </c>
      <c r="B28" s="59" t="s">
        <v>121</v>
      </c>
      <c r="C28" s="59"/>
      <c r="D28" s="60"/>
      <c r="E28" s="61" t="s">
        <v>50</v>
      </c>
      <c r="F28" s="56">
        <f>SUMIFS('明細（オフバラ）'!E:E,'明細（オフバラ）'!N:N,K28)</f>
        <v>0</v>
      </c>
      <c r="G28" s="136">
        <f>SUMIFS('明細（オフバラ）'!H:H,'明細（オフバラ）'!N:N,K28)</f>
        <v>0</v>
      </c>
      <c r="H28" s="62">
        <f>SUMIFS('明細（オフバラ）'!G:G,'明細（オフバラ）'!N:N,K28)</f>
        <v>0</v>
      </c>
      <c r="I28" s="28">
        <f t="shared" si="0"/>
        <v>0</v>
      </c>
      <c r="K28" s="28">
        <v>110007</v>
      </c>
    </row>
    <row r="29" spans="1:11" ht="26.25" customHeight="1" x14ac:dyDescent="0.2">
      <c r="A29" s="139" t="s">
        <v>122</v>
      </c>
      <c r="B29" s="70" t="s">
        <v>123</v>
      </c>
      <c r="C29" s="71"/>
      <c r="D29" s="138"/>
      <c r="E29" s="61" t="s">
        <v>50</v>
      </c>
      <c r="F29" s="56">
        <f>SUMIFS('明細（オフバラ）'!E:E,'明細（オフバラ）'!N:N,K29)</f>
        <v>0</v>
      </c>
      <c r="G29" s="136">
        <f>SUMIFS('明細（オフバラ）'!H:H,'明細（オフバラ）'!N:N,K29)</f>
        <v>0</v>
      </c>
      <c r="H29" s="62">
        <f>SUMIFS('明細（オフバラ）'!G:G,'明細（オフバラ）'!N:N,K29)</f>
        <v>0</v>
      </c>
      <c r="I29" s="28">
        <f t="shared" si="0"/>
        <v>0</v>
      </c>
      <c r="K29" s="28">
        <v>110008</v>
      </c>
    </row>
    <row r="30" spans="1:11" ht="26.25" customHeight="1" x14ac:dyDescent="0.2">
      <c r="A30" s="66" t="s">
        <v>124</v>
      </c>
      <c r="B30" s="67"/>
      <c r="C30" s="67"/>
      <c r="D30" s="68"/>
      <c r="E30" s="61" t="s">
        <v>55</v>
      </c>
      <c r="F30" s="56">
        <f>SUMIFS('明細（オフバラ）'!E:E,'明細（オフバラ）'!N:N,K30)</f>
        <v>0</v>
      </c>
      <c r="G30" s="136">
        <f>SUMIFS('明細（オフバラ）'!H:H,'明細（オフバラ）'!N:N,K30)</f>
        <v>0</v>
      </c>
      <c r="H30" s="62">
        <f>SUMIFS('明細（オフバラ）'!G:G,'明細（オフバラ）'!N:N,K30)</f>
        <v>0</v>
      </c>
      <c r="I30" s="28">
        <f t="shared" si="0"/>
        <v>0</v>
      </c>
      <c r="K30" s="28">
        <v>111111</v>
      </c>
    </row>
    <row r="31" spans="1:11" ht="26.25" customHeight="1" x14ac:dyDescent="0.2">
      <c r="A31" s="58">
        <v>12</v>
      </c>
      <c r="B31" s="59" t="s">
        <v>125</v>
      </c>
      <c r="C31" s="59"/>
      <c r="D31" s="60"/>
      <c r="E31" s="61" t="s">
        <v>55</v>
      </c>
      <c r="F31" s="56">
        <f>SUMIFS('明細（オフバラ）'!E:E,'明細（オフバラ）'!N:N,K31)</f>
        <v>0</v>
      </c>
      <c r="G31" s="136">
        <f>SUMIFS('明細（オフバラ）'!H:H,'明細（オフバラ）'!N:N,K31)</f>
        <v>0</v>
      </c>
      <c r="H31" s="62">
        <f>SUMIFS('明細（オフバラ）'!G:G,'明細（オフバラ）'!N:N,K31)</f>
        <v>0</v>
      </c>
      <c r="I31" s="28">
        <f t="shared" si="0"/>
        <v>0</v>
      </c>
      <c r="K31" s="28">
        <v>120001</v>
      </c>
    </row>
    <row r="32" spans="1:11" ht="26.25" customHeight="1" x14ac:dyDescent="0.2">
      <c r="A32" s="58">
        <v>13</v>
      </c>
      <c r="B32" s="59" t="s">
        <v>126</v>
      </c>
      <c r="C32" s="59"/>
      <c r="D32" s="60"/>
      <c r="E32" s="61" t="s">
        <v>55</v>
      </c>
      <c r="F32" s="56">
        <f>SUMIFS('明細（オフバラ）'!E:E,'明細（オフバラ）'!N:N,K32)</f>
        <v>0</v>
      </c>
      <c r="G32" s="136">
        <f>SUMIFS('明細（オフバラ）'!H:H,'明細（オフバラ）'!N:N,K32)</f>
        <v>0</v>
      </c>
      <c r="H32" s="62">
        <f>SUMIFS('明細（オフバラ）'!G:G,'明細（オフバラ）'!N:N,K32)</f>
        <v>0</v>
      </c>
      <c r="I32" s="28">
        <f t="shared" si="0"/>
        <v>0</v>
      </c>
      <c r="K32" s="28">
        <v>130001</v>
      </c>
    </row>
    <row r="33" spans="1:11" ht="26.25" customHeight="1" x14ac:dyDescent="0.2">
      <c r="A33" s="58">
        <v>14</v>
      </c>
      <c r="B33" s="70" t="s">
        <v>127</v>
      </c>
      <c r="C33" s="71"/>
      <c r="D33" s="138"/>
      <c r="E33" s="61">
        <v>10</v>
      </c>
      <c r="F33" s="56">
        <f>SUMIFS('明細（オフバラ）'!E:E,'明細（オフバラ）'!N:N,K33)</f>
        <v>0</v>
      </c>
      <c r="G33" s="136">
        <f>SUMIFS('明細（オフバラ）'!H:H,'明細（オフバラ）'!N:N,K33)</f>
        <v>0</v>
      </c>
      <c r="H33" s="62">
        <f>SUMIFS('明細（オフバラ）'!G:G,'明細（オフバラ）'!N:N,K33)</f>
        <v>0</v>
      </c>
      <c r="I33" s="28">
        <f t="shared" si="0"/>
        <v>0</v>
      </c>
      <c r="K33" s="28">
        <v>140001</v>
      </c>
    </row>
    <row r="34" spans="1:11" ht="26.25" customHeight="1" thickBot="1" x14ac:dyDescent="0.25">
      <c r="A34" s="63">
        <v>15</v>
      </c>
      <c r="B34" s="59" t="s">
        <v>128</v>
      </c>
      <c r="C34" s="59"/>
      <c r="D34" s="60"/>
      <c r="E34" s="61">
        <v>100</v>
      </c>
      <c r="F34" s="65">
        <f>SUMIFS('明細（オフバラ）'!E:E,'明細（オフバラ）'!N:N,K34)</f>
        <v>0</v>
      </c>
      <c r="G34" s="136">
        <f>SUMIFS('明細（オフバラ）'!H:H,'明細（オフバラ）'!N:N,K34)</f>
        <v>0</v>
      </c>
      <c r="H34" s="62">
        <f>SUMIFS('明細（オフバラ）'!G:G,'明細（オフバラ）'!N:N,K34)</f>
        <v>0</v>
      </c>
      <c r="I34" s="28">
        <f t="shared" si="0"/>
        <v>0</v>
      </c>
      <c r="K34" s="28">
        <v>150001</v>
      </c>
    </row>
    <row r="35" spans="1:11" ht="26.25" customHeight="1" thickTop="1" thickBot="1" x14ac:dyDescent="0.25">
      <c r="A35" s="86"/>
      <c r="B35" s="87"/>
      <c r="C35" s="88"/>
      <c r="D35" s="88"/>
      <c r="E35" s="89"/>
      <c r="F35" s="91">
        <f>SUM(F12:F34)</f>
        <v>67701200</v>
      </c>
      <c r="G35" s="91">
        <f>SUM(G12:G34)</f>
        <v>2291046.2294999994</v>
      </c>
      <c r="H35" s="92">
        <f>SUM(H12:H34)</f>
        <v>593201.43300000008</v>
      </c>
      <c r="K35" s="28" t="s">
        <v>179</v>
      </c>
    </row>
    <row r="36" spans="1:11" ht="15.65" customHeight="1" x14ac:dyDescent="0.2">
      <c r="A36" s="43"/>
      <c r="B36" s="93"/>
      <c r="C36" s="93"/>
      <c r="D36" s="93"/>
      <c r="E36" s="93"/>
      <c r="F36" s="94"/>
      <c r="G36" s="94"/>
      <c r="H36" s="94"/>
      <c r="K36" s="28" t="s">
        <v>179</v>
      </c>
    </row>
    <row r="37" spans="1:11" ht="15.65" customHeight="1" x14ac:dyDescent="0.2">
      <c r="A37" s="43"/>
      <c r="B37" s="93"/>
      <c r="C37" s="93"/>
      <c r="D37" s="93"/>
      <c r="E37" s="93"/>
      <c r="F37" s="94"/>
      <c r="G37" s="94"/>
      <c r="H37" s="94"/>
    </row>
    <row r="38" spans="1:11" ht="41.15" customHeight="1" x14ac:dyDescent="0.2">
      <c r="A38" s="140">
        <v>1</v>
      </c>
      <c r="B38" s="116" t="s">
        <v>77</v>
      </c>
      <c r="C38" s="116"/>
      <c r="D38" s="116"/>
      <c r="E38" s="116"/>
      <c r="F38" s="116"/>
      <c r="G38" s="116"/>
      <c r="H38" s="116"/>
      <c r="I38" s="93"/>
      <c r="K38" s="28" t="s">
        <v>179</v>
      </c>
    </row>
    <row r="39" spans="1:11" ht="76.5" customHeight="1" x14ac:dyDescent="0.2">
      <c r="A39" s="140">
        <v>2</v>
      </c>
      <c r="B39" s="116" t="s">
        <v>78</v>
      </c>
      <c r="C39" s="116"/>
      <c r="D39" s="116"/>
      <c r="E39" s="116"/>
      <c r="F39" s="116"/>
      <c r="G39" s="116"/>
      <c r="H39" s="116"/>
      <c r="I39" s="93"/>
      <c r="K39" s="28" t="s">
        <v>179</v>
      </c>
    </row>
    <row r="40" spans="1:11" ht="28.5" customHeight="1" x14ac:dyDescent="0.2">
      <c r="A40" s="140">
        <v>3</v>
      </c>
      <c r="B40" s="116" t="s">
        <v>81</v>
      </c>
      <c r="C40" s="116"/>
      <c r="D40" s="116"/>
      <c r="E40" s="116"/>
      <c r="F40" s="116"/>
      <c r="G40" s="116"/>
      <c r="H40" s="116"/>
      <c r="I40" s="93"/>
      <c r="K40" s="28" t="s">
        <v>179</v>
      </c>
    </row>
    <row r="41" spans="1:11" ht="12" x14ac:dyDescent="0.2">
      <c r="A41" s="140">
        <v>4</v>
      </c>
      <c r="B41" s="116" t="s">
        <v>82</v>
      </c>
      <c r="C41" s="116"/>
      <c r="D41" s="116"/>
      <c r="E41" s="116"/>
      <c r="F41" s="116"/>
      <c r="G41" s="116"/>
      <c r="H41" s="116"/>
      <c r="I41" s="116"/>
      <c r="K41" s="28" t="s">
        <v>179</v>
      </c>
    </row>
    <row r="42" spans="1:11" ht="12" x14ac:dyDescent="0.2">
      <c r="A42" s="140">
        <v>5</v>
      </c>
      <c r="B42" s="116" t="s">
        <v>129</v>
      </c>
      <c r="C42" s="116"/>
      <c r="D42" s="116"/>
      <c r="E42" s="116"/>
      <c r="F42" s="116"/>
      <c r="G42" s="116"/>
      <c r="H42" s="116"/>
      <c r="I42" s="141"/>
    </row>
    <row r="43" spans="1:11" ht="35.5" customHeight="1" x14ac:dyDescent="0.2">
      <c r="A43" s="140">
        <v>6</v>
      </c>
      <c r="B43" s="116" t="s">
        <v>83</v>
      </c>
      <c r="C43" s="116"/>
      <c r="D43" s="116"/>
      <c r="E43" s="116"/>
      <c r="F43" s="116"/>
      <c r="G43" s="116"/>
      <c r="H43" s="116"/>
      <c r="I43" s="116"/>
      <c r="K43" s="28" t="s">
        <v>179</v>
      </c>
    </row>
    <row r="44" spans="1:11" ht="18.649999999999999" customHeight="1" x14ac:dyDescent="0.2">
      <c r="A44" s="140">
        <v>7</v>
      </c>
      <c r="B44" s="116" t="s">
        <v>84</v>
      </c>
      <c r="C44" s="116"/>
      <c r="D44" s="116"/>
      <c r="E44" s="116"/>
      <c r="F44" s="116"/>
      <c r="G44" s="116"/>
      <c r="H44" s="116"/>
      <c r="I44" s="116"/>
      <c r="K44" s="28" t="s">
        <v>179</v>
      </c>
    </row>
    <row r="45" spans="1:11" ht="15.65" customHeight="1" x14ac:dyDescent="0.2">
      <c r="A45" s="140"/>
      <c r="B45" s="116"/>
      <c r="C45" s="116"/>
      <c r="D45" s="116"/>
      <c r="E45" s="116"/>
      <c r="F45" s="116"/>
      <c r="G45" s="116"/>
      <c r="H45" s="116"/>
      <c r="I45" s="116"/>
    </row>
    <row r="46" spans="1:11" ht="15.65" customHeight="1" x14ac:dyDescent="0.2">
      <c r="A46" s="140"/>
      <c r="B46" s="116"/>
      <c r="C46" s="116"/>
      <c r="D46" s="116"/>
      <c r="E46" s="116"/>
      <c r="F46" s="116"/>
      <c r="G46" s="116"/>
      <c r="H46" s="116"/>
      <c r="I46" s="116"/>
    </row>
    <row r="47" spans="1:11" ht="15.65" customHeight="1" x14ac:dyDescent="0.2">
      <c r="A47" s="140"/>
      <c r="B47" s="116"/>
      <c r="C47" s="116"/>
      <c r="D47" s="116"/>
      <c r="E47" s="116"/>
      <c r="F47" s="116"/>
      <c r="G47" s="116"/>
      <c r="H47" s="116"/>
      <c r="I47" s="116"/>
    </row>
  </sheetData>
  <protectedRanges>
    <protectedRange password="CC7D" sqref="F23:F33 G12:G34 C3:E4 F12:F21 H23:H33 H12:H21 A38:H44" name="入力1"/>
  </protectedRanges>
  <mergeCells count="21">
    <mergeCell ref="B45:I45"/>
    <mergeCell ref="B46:I46"/>
    <mergeCell ref="B47:I47"/>
    <mergeCell ref="B39:H39"/>
    <mergeCell ref="B40:H40"/>
    <mergeCell ref="B41:I41"/>
    <mergeCell ref="B42:H42"/>
    <mergeCell ref="B43:I43"/>
    <mergeCell ref="B44:I44"/>
    <mergeCell ref="B18:D18"/>
    <mergeCell ref="B21:D21"/>
    <mergeCell ref="B29:D29"/>
    <mergeCell ref="A30:D30"/>
    <mergeCell ref="B33:D33"/>
    <mergeCell ref="B38:H38"/>
    <mergeCell ref="C3:E3"/>
    <mergeCell ref="C4:E4"/>
    <mergeCell ref="A10:A11"/>
    <mergeCell ref="B10:D11"/>
    <mergeCell ref="E10:E11"/>
    <mergeCell ref="B12:D12"/>
  </mergeCells>
  <phoneticPr fontId="5"/>
  <pageMargins left="0.70866141732283472" right="0.70866141732283472" top="0.74803149606299213" bottom="0.74803149606299213" header="0.31496062992125984" footer="0.31496062992125984"/>
  <pageSetup paperSize="8" scale="84" orientation="portrait" r:id="rId1"/>
  <headerFooter>
    <oddHeader xml:space="preserve">&amp;C
&amp;G
</oddHeader>
  </headerFooter>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unitList">
              <controlPr defaultSize="0" autoLine="0" autoPict="0">
                <anchor moveWithCells="1">
                  <from>
                    <xdr:col>2</xdr:col>
                    <xdr:colOff>336550</xdr:colOff>
                    <xdr:row>0</xdr:row>
                    <xdr:rowOff>0</xdr:rowOff>
                  </from>
                  <to>
                    <xdr:col>2</xdr:col>
                    <xdr:colOff>558800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ABD6-6E75-40C1-A223-EB7570D33215}">
  <sheetPr>
    <tabColor theme="9" tint="0.79998168889431442"/>
    <pageSetUpPr fitToPage="1"/>
  </sheetPr>
  <dimension ref="A1:Z92"/>
  <sheetViews>
    <sheetView view="pageBreakPreview" zoomScale="60" zoomScaleNormal="85" workbookViewId="0">
      <selection activeCell="P11" sqref="P11"/>
    </sheetView>
  </sheetViews>
  <sheetFormatPr defaultColWidth="8.90625" defaultRowHeight="13" x14ac:dyDescent="0.2"/>
  <cols>
    <col min="1" max="1" width="8.90625" style="142"/>
    <col min="2" max="2" width="22.453125" style="143" customWidth="1"/>
    <col min="3" max="3" width="40.08984375" style="143" bestFit="1" customWidth="1"/>
    <col min="4" max="4" width="97.453125" style="143" bestFit="1" customWidth="1"/>
    <col min="5" max="5" width="19.08984375" style="143" customWidth="1"/>
    <col min="6" max="6" width="12.453125" style="143" bestFit="1" customWidth="1"/>
    <col min="7" max="7" width="22.26953125" style="143" customWidth="1"/>
    <col min="8" max="8" width="8.90625" style="143"/>
    <col min="9" max="9" width="10.08984375" style="143" customWidth="1"/>
    <col min="10" max="10" width="8.90625" style="143"/>
    <col min="11" max="14" width="8.90625" style="142"/>
    <col min="15" max="15" width="8.90625" style="143"/>
    <col min="16" max="26" width="8.90625" style="142"/>
    <col min="27" max="16384" width="8.90625" style="143"/>
  </cols>
  <sheetData>
    <row r="1" spans="1:16" s="142" customFormat="1" x14ac:dyDescent="0.2">
      <c r="A1" s="142">
        <v>1</v>
      </c>
      <c r="B1" s="143">
        <v>1</v>
      </c>
      <c r="C1" s="143">
        <v>1</v>
      </c>
      <c r="D1" s="143">
        <v>1</v>
      </c>
      <c r="E1" s="143">
        <v>1</v>
      </c>
      <c r="F1" s="143">
        <v>1</v>
      </c>
      <c r="G1" s="143">
        <v>1</v>
      </c>
      <c r="H1" s="143">
        <v>1</v>
      </c>
      <c r="I1" s="143">
        <v>1</v>
      </c>
      <c r="J1" s="143">
        <v>1</v>
      </c>
      <c r="K1" s="142">
        <v>1</v>
      </c>
      <c r="L1" s="142">
        <v>1</v>
      </c>
      <c r="M1" s="142">
        <v>1</v>
      </c>
      <c r="N1" s="142">
        <v>1</v>
      </c>
      <c r="O1" s="143">
        <v>1</v>
      </c>
      <c r="P1" s="142">
        <v>1</v>
      </c>
    </row>
    <row r="2" spans="1:16" s="142" customFormat="1" x14ac:dyDescent="0.2">
      <c r="B2" s="143"/>
      <c r="C2" s="143"/>
      <c r="D2" s="143"/>
      <c r="E2" s="143"/>
      <c r="F2" s="143"/>
      <c r="G2" s="143"/>
      <c r="H2" s="143"/>
      <c r="I2" s="143"/>
      <c r="J2" s="143"/>
      <c r="O2" s="143"/>
      <c r="P2" s="142">
        <v>1</v>
      </c>
    </row>
    <row r="3" spans="1:16" s="142" customFormat="1" x14ac:dyDescent="0.2">
      <c r="B3" s="143"/>
      <c r="C3" s="143"/>
      <c r="D3" s="143"/>
      <c r="E3" s="143"/>
      <c r="F3" s="143"/>
      <c r="G3" s="143"/>
      <c r="H3" s="143"/>
      <c r="I3" s="143"/>
      <c r="J3" s="143"/>
      <c r="O3" s="143"/>
      <c r="P3" s="142">
        <v>1</v>
      </c>
    </row>
    <row r="4" spans="1:16" s="142" customFormat="1" x14ac:dyDescent="0.2">
      <c r="A4" s="144" t="s">
        <v>130</v>
      </c>
      <c r="B4" s="143"/>
      <c r="C4" s="143"/>
      <c r="D4" s="143"/>
      <c r="E4" s="143"/>
      <c r="F4" s="143"/>
      <c r="G4" s="143"/>
      <c r="H4" s="143"/>
      <c r="I4" s="143"/>
      <c r="J4" s="143"/>
      <c r="O4" s="145">
        <v>1</v>
      </c>
      <c r="P4" s="142">
        <v>1</v>
      </c>
    </row>
    <row r="5" spans="1:16" s="142" customFormat="1" x14ac:dyDescent="0.2">
      <c r="B5" s="143" t="s">
        <v>131</v>
      </c>
      <c r="C5" s="143"/>
      <c r="D5" s="143"/>
      <c r="E5" s="143"/>
      <c r="F5" s="143"/>
      <c r="G5" s="143"/>
      <c r="H5" s="143"/>
      <c r="I5" s="143"/>
      <c r="J5" s="143"/>
      <c r="O5" s="145">
        <v>1</v>
      </c>
      <c r="P5" s="142">
        <v>1</v>
      </c>
    </row>
    <row r="6" spans="1:16" s="142" customFormat="1" x14ac:dyDescent="0.2">
      <c r="B6" s="143"/>
      <c r="C6" s="143"/>
      <c r="D6" s="143"/>
      <c r="E6" s="143"/>
      <c r="F6" s="143"/>
      <c r="G6" s="143"/>
      <c r="H6" s="143"/>
      <c r="I6" s="143"/>
      <c r="J6" s="143"/>
      <c r="O6" s="145">
        <v>1</v>
      </c>
      <c r="P6" s="142">
        <v>1</v>
      </c>
    </row>
    <row r="7" spans="1:16" s="142" customFormat="1" x14ac:dyDescent="0.2">
      <c r="P7" s="142">
        <v>1</v>
      </c>
    </row>
    <row r="8" spans="1:16" s="142" customFormat="1" x14ac:dyDescent="0.2">
      <c r="P8" s="142">
        <v>1</v>
      </c>
    </row>
    <row r="9" spans="1:16" s="142" customFormat="1" x14ac:dyDescent="0.2">
      <c r="A9" s="146" t="s">
        <v>132</v>
      </c>
      <c r="G9" s="147" t="s">
        <v>7</v>
      </c>
      <c r="I9" s="142">
        <v>22</v>
      </c>
      <c r="O9" s="142" t="str">
        <f>IFERROR(IF(D9&lt;&gt;"",1,""),"")</f>
        <v/>
      </c>
      <c r="P9" s="142">
        <v>1</v>
      </c>
    </row>
    <row r="10" spans="1:16" s="142" customFormat="1" x14ac:dyDescent="0.2">
      <c r="B10" s="148" t="s">
        <v>133</v>
      </c>
      <c r="C10" s="148" t="s">
        <v>134</v>
      </c>
      <c r="D10" s="148" t="s">
        <v>135</v>
      </c>
      <c r="E10" s="148" t="s">
        <v>136</v>
      </c>
      <c r="F10" s="148" t="s">
        <v>137</v>
      </c>
      <c r="G10" s="148" t="s">
        <v>138</v>
      </c>
      <c r="H10" s="143"/>
      <c r="I10" s="149" t="s">
        <v>139</v>
      </c>
      <c r="J10" s="149" t="s">
        <v>140</v>
      </c>
      <c r="O10" s="143" t="str">
        <f t="shared" ref="O10:O43" si="0">IFERROR(IF(D10&lt;&gt;"",IF(D10&lt;&gt;$D$10,1,""),""),"")</f>
        <v/>
      </c>
      <c r="P10" s="142">
        <v>1</v>
      </c>
    </row>
    <row r="11" spans="1:16" s="142" customFormat="1" x14ac:dyDescent="0.2">
      <c r="B11" s="142" t="s">
        <v>192</v>
      </c>
      <c r="C11" s="142" t="s">
        <v>185</v>
      </c>
      <c r="D11" s="142" t="s">
        <v>180</v>
      </c>
      <c r="E11" s="150">
        <v>14198705</v>
      </c>
      <c r="F11" s="151">
        <v>0.2</v>
      </c>
      <c r="G11" s="152">
        <f>IFERROR(IF(I11&lt;&gt;"",E11*F11,""),"-")</f>
        <v>2839741</v>
      </c>
      <c r="I11" s="142">
        <v>1</v>
      </c>
      <c r="J11" s="142">
        <v>1101</v>
      </c>
      <c r="O11" s="142">
        <f t="shared" si="0"/>
        <v>1</v>
      </c>
      <c r="P11" s="142">
        <v>1</v>
      </c>
    </row>
    <row r="12" spans="1:16" s="142" customFormat="1" x14ac:dyDescent="0.2">
      <c r="B12" s="142" t="s">
        <v>193</v>
      </c>
      <c r="C12" s="142" t="s">
        <v>185</v>
      </c>
      <c r="D12" s="142" t="s">
        <v>180</v>
      </c>
      <c r="E12" s="150">
        <v>4790189</v>
      </c>
      <c r="F12" s="151">
        <v>0.2</v>
      </c>
      <c r="G12" s="152">
        <f t="shared" ref="G12:G38" si="1">IFERROR(IF(I12&lt;&gt;"",E12*F12,""),"-")</f>
        <v>958037.8</v>
      </c>
      <c r="I12" s="142">
        <f>IF(MAX($I$11:I11)+1&gt;$I$9,"",I11+1)</f>
        <v>2</v>
      </c>
      <c r="J12" s="142">
        <v>1101</v>
      </c>
      <c r="O12" s="142">
        <f t="shared" si="0"/>
        <v>1</v>
      </c>
      <c r="P12" s="142">
        <v>1</v>
      </c>
    </row>
    <row r="13" spans="1:16" s="142" customFormat="1" x14ac:dyDescent="0.2">
      <c r="B13" s="142" t="s">
        <v>194</v>
      </c>
      <c r="C13" s="142" t="s">
        <v>182</v>
      </c>
      <c r="D13" s="142" t="s">
        <v>184</v>
      </c>
      <c r="E13" s="150">
        <v>212784</v>
      </c>
      <c r="F13" s="151">
        <v>1</v>
      </c>
      <c r="G13" s="152">
        <f t="shared" si="1"/>
        <v>212784</v>
      </c>
      <c r="I13" s="142">
        <f>IF(MAX($I$11:I12)+1&gt;$I$9,"",I12+1)</f>
        <v>3</v>
      </c>
      <c r="J13" s="142">
        <v>1301</v>
      </c>
      <c r="O13" s="142">
        <f t="shared" si="0"/>
        <v>1</v>
      </c>
      <c r="P13" s="142">
        <v>1</v>
      </c>
    </row>
    <row r="14" spans="1:16" s="142" customFormat="1" x14ac:dyDescent="0.2">
      <c r="B14" s="142" t="s">
        <v>195</v>
      </c>
      <c r="C14" s="142" t="s">
        <v>182</v>
      </c>
      <c r="D14" s="142" t="s">
        <v>184</v>
      </c>
      <c r="E14" s="150">
        <v>178805</v>
      </c>
      <c r="F14" s="151">
        <v>1</v>
      </c>
      <c r="G14" s="152">
        <f t="shared" si="1"/>
        <v>178805</v>
      </c>
      <c r="I14" s="142">
        <f>IF(MAX($I$11:I13)+1&gt;$I$9,"",I13+1)</f>
        <v>4</v>
      </c>
      <c r="J14" s="142">
        <v>1301</v>
      </c>
      <c r="O14" s="142">
        <f t="shared" si="0"/>
        <v>1</v>
      </c>
      <c r="P14" s="142">
        <v>1</v>
      </c>
    </row>
    <row r="15" spans="1:16" s="142" customFormat="1" x14ac:dyDescent="0.2">
      <c r="B15" s="142" t="s">
        <v>196</v>
      </c>
      <c r="C15" s="142" t="s">
        <v>182</v>
      </c>
      <c r="D15" s="142" t="s">
        <v>183</v>
      </c>
      <c r="E15" s="150">
        <v>11864</v>
      </c>
      <c r="F15" s="151">
        <v>1</v>
      </c>
      <c r="G15" s="152">
        <f t="shared" si="1"/>
        <v>11864</v>
      </c>
      <c r="I15" s="142">
        <f>IF(MAX($I$11:I14)+1&gt;$I$9,"",I14+1)</f>
        <v>5</v>
      </c>
      <c r="J15" s="142">
        <v>2205</v>
      </c>
      <c r="O15" s="142">
        <f t="shared" si="0"/>
        <v>1</v>
      </c>
      <c r="P15" s="142">
        <v>1</v>
      </c>
    </row>
    <row r="16" spans="1:16" s="142" customFormat="1" x14ac:dyDescent="0.2">
      <c r="B16" s="142" t="s">
        <v>197</v>
      </c>
      <c r="C16" s="142" t="s">
        <v>151</v>
      </c>
      <c r="D16" s="142" t="s">
        <v>181</v>
      </c>
      <c r="E16" s="150">
        <v>19304827</v>
      </c>
      <c r="F16" s="151">
        <v>1</v>
      </c>
      <c r="G16" s="152">
        <f t="shared" si="1"/>
        <v>19304827</v>
      </c>
      <c r="I16" s="142">
        <f>IF(MAX($I$11:I15)+1&gt;$I$9,"",I15+1)</f>
        <v>6</v>
      </c>
      <c r="J16" s="142">
        <v>2202</v>
      </c>
      <c r="O16" s="142">
        <f t="shared" si="0"/>
        <v>1</v>
      </c>
      <c r="P16" s="142">
        <v>1</v>
      </c>
    </row>
    <row r="17" spans="2:16" s="142" customFormat="1" x14ac:dyDescent="0.2">
      <c r="B17" s="142" t="s">
        <v>198</v>
      </c>
      <c r="C17" s="142" t="s">
        <v>151</v>
      </c>
      <c r="D17" s="142" t="s">
        <v>181</v>
      </c>
      <c r="E17" s="150">
        <v>71470</v>
      </c>
      <c r="F17" s="151">
        <v>1</v>
      </c>
      <c r="G17" s="152">
        <f t="shared" si="1"/>
        <v>71470</v>
      </c>
      <c r="I17" s="142">
        <f>IF(MAX($I$11:I16)+1&gt;$I$9,"",I16+1)</f>
        <v>7</v>
      </c>
      <c r="J17" s="142">
        <v>2202</v>
      </c>
      <c r="O17" s="142">
        <f t="shared" si="0"/>
        <v>1</v>
      </c>
      <c r="P17" s="142">
        <v>1</v>
      </c>
    </row>
    <row r="18" spans="2:16" s="142" customFormat="1" x14ac:dyDescent="0.2">
      <c r="B18" s="142" t="s">
        <v>199</v>
      </c>
      <c r="C18" s="142" t="s">
        <v>151</v>
      </c>
      <c r="D18" s="142" t="s">
        <v>181</v>
      </c>
      <c r="E18" s="150">
        <v>104089</v>
      </c>
      <c r="F18" s="151">
        <v>1</v>
      </c>
      <c r="G18" s="152">
        <f t="shared" si="1"/>
        <v>104089</v>
      </c>
      <c r="I18" s="142">
        <f>IF(MAX($I$11:I17)+1&gt;$I$9,"",I17+1)</f>
        <v>8</v>
      </c>
      <c r="J18" s="142">
        <v>2202</v>
      </c>
      <c r="O18" s="142">
        <f t="shared" si="0"/>
        <v>1</v>
      </c>
      <c r="P18" s="142">
        <v>1</v>
      </c>
    </row>
    <row r="19" spans="2:16" s="142" customFormat="1" x14ac:dyDescent="0.2">
      <c r="B19" s="142" t="s">
        <v>200</v>
      </c>
      <c r="C19" s="142" t="s">
        <v>151</v>
      </c>
      <c r="D19" s="142" t="s">
        <v>181</v>
      </c>
      <c r="E19" s="150">
        <v>240427</v>
      </c>
      <c r="F19" s="151">
        <v>1</v>
      </c>
      <c r="G19" s="152">
        <f t="shared" si="1"/>
        <v>240427</v>
      </c>
      <c r="I19" s="142">
        <f>IF(MAX($I$11:I18)+1&gt;$I$9,"",I18+1)</f>
        <v>9</v>
      </c>
      <c r="J19" s="142">
        <v>2202</v>
      </c>
      <c r="O19" s="142">
        <f t="shared" si="0"/>
        <v>1</v>
      </c>
      <c r="P19" s="142">
        <v>1</v>
      </c>
    </row>
    <row r="20" spans="2:16" s="142" customFormat="1" x14ac:dyDescent="0.2">
      <c r="B20" s="142" t="s">
        <v>201</v>
      </c>
      <c r="C20" s="142" t="s">
        <v>151</v>
      </c>
      <c r="D20" s="142" t="s">
        <v>181</v>
      </c>
      <c r="E20" s="150">
        <v>46169225</v>
      </c>
      <c r="F20" s="151">
        <v>1</v>
      </c>
      <c r="G20" s="152">
        <f t="shared" si="1"/>
        <v>46169225</v>
      </c>
      <c r="I20" s="142">
        <f>IF(MAX($I$11:I19)+1&gt;$I$9,"",I19+1)</f>
        <v>10</v>
      </c>
      <c r="J20" s="142">
        <v>2202</v>
      </c>
      <c r="O20" s="142">
        <f t="shared" si="0"/>
        <v>1</v>
      </c>
      <c r="P20" s="142">
        <v>1</v>
      </c>
    </row>
    <row r="21" spans="2:16" s="142" customFormat="1" x14ac:dyDescent="0.2">
      <c r="B21" s="142" t="s">
        <v>202</v>
      </c>
      <c r="C21" s="142" t="s">
        <v>151</v>
      </c>
      <c r="D21" s="142" t="s">
        <v>181</v>
      </c>
      <c r="E21" s="150">
        <v>37457583</v>
      </c>
      <c r="F21" s="151">
        <v>1</v>
      </c>
      <c r="G21" s="152">
        <f t="shared" si="1"/>
        <v>37457583</v>
      </c>
      <c r="I21" s="142">
        <f>IF(MAX($I$11:I20)+1&gt;$I$9,"",I20+1)</f>
        <v>11</v>
      </c>
      <c r="J21" s="142">
        <v>2202</v>
      </c>
      <c r="O21" s="142">
        <f t="shared" si="0"/>
        <v>1</v>
      </c>
      <c r="P21" s="142">
        <v>1</v>
      </c>
    </row>
    <row r="22" spans="2:16" s="142" customFormat="1" x14ac:dyDescent="0.2">
      <c r="B22" s="142" t="s">
        <v>203</v>
      </c>
      <c r="C22" s="142" t="s">
        <v>151</v>
      </c>
      <c r="D22" s="142" t="s">
        <v>181</v>
      </c>
      <c r="E22" s="150">
        <v>122562</v>
      </c>
      <c r="F22" s="151">
        <v>1</v>
      </c>
      <c r="G22" s="152">
        <f t="shared" si="1"/>
        <v>122562</v>
      </c>
      <c r="I22" s="142">
        <f>IF(MAX($I$11:I21)+1&gt;$I$9,"",I21+1)</f>
        <v>12</v>
      </c>
      <c r="J22" s="142">
        <v>2202</v>
      </c>
      <c r="O22" s="142">
        <f t="shared" si="0"/>
        <v>1</v>
      </c>
      <c r="P22" s="142">
        <v>1</v>
      </c>
    </row>
    <row r="23" spans="2:16" s="142" customFormat="1" x14ac:dyDescent="0.2">
      <c r="B23" s="142" t="s">
        <v>204</v>
      </c>
      <c r="C23" s="142" t="s">
        <v>151</v>
      </c>
      <c r="D23" s="142" t="s">
        <v>181</v>
      </c>
      <c r="E23" s="150">
        <v>413340</v>
      </c>
      <c r="F23" s="151">
        <v>1</v>
      </c>
      <c r="G23" s="152">
        <f t="shared" si="1"/>
        <v>413340</v>
      </c>
      <c r="I23" s="142">
        <f>IF(MAX($I$11:I22)+1&gt;$I$9,"",I22+1)</f>
        <v>13</v>
      </c>
      <c r="J23" s="142">
        <v>2202</v>
      </c>
      <c r="O23" s="142">
        <f t="shared" si="0"/>
        <v>1</v>
      </c>
      <c r="P23" s="142">
        <v>1</v>
      </c>
    </row>
    <row r="24" spans="2:16" s="142" customFormat="1" x14ac:dyDescent="0.2">
      <c r="B24" s="142" t="s">
        <v>205</v>
      </c>
      <c r="C24" s="142" t="s">
        <v>151</v>
      </c>
      <c r="D24" s="142" t="s">
        <v>181</v>
      </c>
      <c r="E24" s="150">
        <v>557742</v>
      </c>
      <c r="F24" s="151">
        <v>1</v>
      </c>
      <c r="G24" s="152">
        <f t="shared" si="1"/>
        <v>557742</v>
      </c>
      <c r="I24" s="142">
        <f>IF(MAX($I$11:I23)+1&gt;$I$9,"",I23+1)</f>
        <v>14</v>
      </c>
      <c r="J24" s="142">
        <v>2202</v>
      </c>
      <c r="O24" s="142">
        <f t="shared" si="0"/>
        <v>1</v>
      </c>
      <c r="P24" s="142">
        <v>1</v>
      </c>
    </row>
    <row r="25" spans="2:16" s="142" customFormat="1" x14ac:dyDescent="0.2">
      <c r="B25" s="142" t="s">
        <v>206</v>
      </c>
      <c r="C25" s="142" t="s">
        <v>151</v>
      </c>
      <c r="D25" s="142" t="s">
        <v>181</v>
      </c>
      <c r="E25" s="150">
        <v>132894678</v>
      </c>
      <c r="F25" s="151">
        <v>1</v>
      </c>
      <c r="G25" s="152">
        <f t="shared" si="1"/>
        <v>132894678</v>
      </c>
      <c r="I25" s="142">
        <f>IF(MAX($I$11:I24)+1&gt;$I$9,"",I24+1)</f>
        <v>15</v>
      </c>
      <c r="J25" s="142">
        <v>2202</v>
      </c>
      <c r="O25" s="142">
        <f t="shared" si="0"/>
        <v>1</v>
      </c>
      <c r="P25" s="142">
        <v>1</v>
      </c>
    </row>
    <row r="26" spans="2:16" s="142" customFormat="1" x14ac:dyDescent="0.2">
      <c r="B26" s="142" t="s">
        <v>153</v>
      </c>
      <c r="C26" s="142" t="s">
        <v>50</v>
      </c>
      <c r="D26" s="142" t="s">
        <v>186</v>
      </c>
      <c r="E26" s="150">
        <v>11472226</v>
      </c>
      <c r="F26" s="151">
        <v>1</v>
      </c>
      <c r="G26" s="152">
        <f t="shared" si="1"/>
        <v>11472226</v>
      </c>
      <c r="I26" s="142">
        <f>IF(MAX($I$11:I25)+1&gt;$I$9,"",I25+1)</f>
        <v>16</v>
      </c>
      <c r="J26" s="142">
        <v>2204</v>
      </c>
      <c r="O26" s="142">
        <f t="shared" si="0"/>
        <v>1</v>
      </c>
      <c r="P26" s="142">
        <v>1</v>
      </c>
    </row>
    <row r="27" spans="2:16" s="142" customFormat="1" x14ac:dyDescent="0.2">
      <c r="B27" s="142" t="s">
        <v>207</v>
      </c>
      <c r="C27" s="142" t="s">
        <v>50</v>
      </c>
      <c r="D27" s="142" t="s">
        <v>186</v>
      </c>
      <c r="E27" s="150">
        <v>2472255</v>
      </c>
      <c r="F27" s="151">
        <v>1</v>
      </c>
      <c r="G27" s="152">
        <f>IFERROR(IF(I27&lt;&gt;"",E27*F27,""),"-")</f>
        <v>2472255</v>
      </c>
      <c r="I27" s="142">
        <f>IF(MAX($I$11:I26)+1&gt;$I$9,"",I26+1)</f>
        <v>17</v>
      </c>
      <c r="J27" s="142">
        <v>2204</v>
      </c>
      <c r="O27" s="142">
        <f t="shared" si="0"/>
        <v>1</v>
      </c>
      <c r="P27" s="142">
        <v>1</v>
      </c>
    </row>
    <row r="28" spans="2:16" s="142" customFormat="1" x14ac:dyDescent="0.2">
      <c r="B28" s="142" t="s">
        <v>208</v>
      </c>
      <c r="C28" s="142" t="s">
        <v>50</v>
      </c>
      <c r="D28" s="142" t="s">
        <v>188</v>
      </c>
      <c r="E28" s="150">
        <v>227</v>
      </c>
      <c r="F28" s="151" t="s">
        <v>187</v>
      </c>
      <c r="G28" s="152" t="str">
        <f t="shared" ref="G28:G54" si="2">IFERROR(IF(I28&lt;&gt;"",E28*F28,""),"-")</f>
        <v>-</v>
      </c>
      <c r="I28" s="142">
        <f>IF(MAX($I$11:I27)+1&gt;$I$9,"",I27+1)</f>
        <v>18</v>
      </c>
      <c r="J28" s="142">
        <v>2601</v>
      </c>
      <c r="O28" s="142">
        <f t="shared" si="0"/>
        <v>1</v>
      </c>
      <c r="P28" s="142">
        <v>1</v>
      </c>
    </row>
    <row r="29" spans="2:16" s="142" customFormat="1" x14ac:dyDescent="0.2">
      <c r="B29" s="142" t="s">
        <v>209</v>
      </c>
      <c r="C29" s="142" t="s">
        <v>182</v>
      </c>
      <c r="D29" s="142" t="s">
        <v>183</v>
      </c>
      <c r="E29" s="150">
        <v>440835</v>
      </c>
      <c r="F29" s="151">
        <v>1</v>
      </c>
      <c r="G29" s="152">
        <f t="shared" si="2"/>
        <v>440835</v>
      </c>
      <c r="I29" s="142">
        <f>IF(MAX($I$11:I28)+1&gt;$I$9,"",I28+1)</f>
        <v>19</v>
      </c>
      <c r="J29" s="142">
        <v>2205</v>
      </c>
      <c r="O29" s="142">
        <f t="shared" si="0"/>
        <v>1</v>
      </c>
      <c r="P29" s="142">
        <v>1</v>
      </c>
    </row>
    <row r="30" spans="2:16" s="142" customFormat="1" x14ac:dyDescent="0.2">
      <c r="B30" s="142" t="s">
        <v>210</v>
      </c>
      <c r="C30" s="142" t="s">
        <v>50</v>
      </c>
      <c r="D30" s="142" t="s">
        <v>183</v>
      </c>
      <c r="E30" s="150">
        <v>553158</v>
      </c>
      <c r="F30" s="151">
        <v>1</v>
      </c>
      <c r="G30" s="152">
        <f t="shared" si="2"/>
        <v>553158</v>
      </c>
      <c r="I30" s="142">
        <f>IF(MAX($I$11:I29)+1&gt;$I$9,"",I29+1)</f>
        <v>20</v>
      </c>
      <c r="J30" s="142">
        <v>2205</v>
      </c>
      <c r="O30" s="142">
        <f t="shared" si="0"/>
        <v>1</v>
      </c>
      <c r="P30" s="142">
        <v>1</v>
      </c>
    </row>
    <row r="31" spans="2:16" s="142" customFormat="1" x14ac:dyDescent="0.2">
      <c r="B31" s="142" t="s">
        <v>211</v>
      </c>
      <c r="C31" s="142" t="s">
        <v>50</v>
      </c>
      <c r="D31" s="142" t="s">
        <v>183</v>
      </c>
      <c r="E31" s="150">
        <v>71543</v>
      </c>
      <c r="F31" s="151">
        <v>1</v>
      </c>
      <c r="G31" s="152">
        <f t="shared" si="2"/>
        <v>71543</v>
      </c>
      <c r="I31" s="142">
        <f>IF(MAX($I$11:I30)+1&gt;$I$9,"",I30+1)</f>
        <v>21</v>
      </c>
      <c r="J31" s="142">
        <v>2205</v>
      </c>
      <c r="O31" s="142">
        <f t="shared" si="0"/>
        <v>1</v>
      </c>
      <c r="P31" s="142">
        <v>1</v>
      </c>
    </row>
    <row r="32" spans="2:16" s="142" customFormat="1" x14ac:dyDescent="0.2">
      <c r="B32" s="142" t="s">
        <v>212</v>
      </c>
      <c r="C32" s="142" t="s">
        <v>50</v>
      </c>
      <c r="D32" s="142" t="s">
        <v>183</v>
      </c>
      <c r="E32" s="150">
        <v>27550</v>
      </c>
      <c r="F32" s="151">
        <v>1</v>
      </c>
      <c r="G32" s="152">
        <f t="shared" si="2"/>
        <v>27550</v>
      </c>
      <c r="I32" s="142">
        <f>IF(MAX($I$11:I31)+1&gt;$I$9,"",I31+1)</f>
        <v>22</v>
      </c>
      <c r="J32" s="142">
        <v>2205</v>
      </c>
      <c r="O32" s="142">
        <f t="shared" si="0"/>
        <v>1</v>
      </c>
      <c r="P32" s="142">
        <v>1</v>
      </c>
    </row>
    <row r="33" spans="1:16" s="142" customFormat="1" x14ac:dyDescent="0.2">
      <c r="B33" s="142" t="s">
        <v>179</v>
      </c>
      <c r="C33" s="142" t="s">
        <v>179</v>
      </c>
      <c r="D33" s="142" t="s">
        <v>179</v>
      </c>
      <c r="E33" s="150" t="s">
        <v>179</v>
      </c>
      <c r="F33" s="151" t="s">
        <v>179</v>
      </c>
      <c r="G33" s="152" t="str">
        <f t="shared" si="2"/>
        <v/>
      </c>
      <c r="I33" s="142" t="str">
        <f>IF(MAX($I$11:I32)+1&gt;$I$9,"",I32+1)</f>
        <v/>
      </c>
      <c r="J33" s="142" t="s">
        <v>179</v>
      </c>
      <c r="O33" s="142" t="str">
        <f t="shared" si="0"/>
        <v/>
      </c>
      <c r="P33" s="142">
        <v>1</v>
      </c>
    </row>
    <row r="34" spans="1:16" s="142" customFormat="1" x14ac:dyDescent="0.2">
      <c r="B34" s="142" t="s">
        <v>179</v>
      </c>
      <c r="C34" s="142" t="s">
        <v>179</v>
      </c>
      <c r="D34" s="142" t="s">
        <v>179</v>
      </c>
      <c r="E34" s="150" t="s">
        <v>179</v>
      </c>
      <c r="F34" s="151" t="s">
        <v>179</v>
      </c>
      <c r="G34" s="152" t="str">
        <f t="shared" si="2"/>
        <v/>
      </c>
      <c r="I34" s="142" t="str">
        <f>IF(MAX($I$11:I33)+1&gt;$I$9,"",I33+1)</f>
        <v/>
      </c>
      <c r="J34" s="142" t="s">
        <v>179</v>
      </c>
      <c r="O34" s="142" t="str">
        <f t="shared" si="0"/>
        <v/>
      </c>
      <c r="P34" s="142">
        <v>1</v>
      </c>
    </row>
    <row r="35" spans="1:16" s="142" customFormat="1" x14ac:dyDescent="0.2">
      <c r="B35" s="142" t="s">
        <v>179</v>
      </c>
      <c r="C35" s="142" t="s">
        <v>179</v>
      </c>
      <c r="D35" s="142" t="s">
        <v>179</v>
      </c>
      <c r="E35" s="150" t="s">
        <v>179</v>
      </c>
      <c r="F35" s="151" t="s">
        <v>179</v>
      </c>
      <c r="G35" s="152" t="str">
        <f t="shared" si="2"/>
        <v/>
      </c>
      <c r="I35" s="142" t="str">
        <f>IF(MAX($I$11:I34)+1&gt;$I$9,"",I34+1)</f>
        <v/>
      </c>
      <c r="J35" s="142" t="s">
        <v>179</v>
      </c>
      <c r="O35" s="142" t="str">
        <f t="shared" si="0"/>
        <v/>
      </c>
      <c r="P35" s="142">
        <v>1</v>
      </c>
    </row>
    <row r="36" spans="1:16" s="142" customFormat="1" x14ac:dyDescent="0.2">
      <c r="B36" s="142" t="s">
        <v>179</v>
      </c>
      <c r="C36" s="142" t="s">
        <v>179</v>
      </c>
      <c r="D36" s="142" t="s">
        <v>179</v>
      </c>
      <c r="E36" s="150" t="s">
        <v>179</v>
      </c>
      <c r="F36" s="151" t="s">
        <v>179</v>
      </c>
      <c r="G36" s="152" t="str">
        <f t="shared" si="2"/>
        <v/>
      </c>
      <c r="I36" s="142" t="str">
        <f>IF(MAX($I$11:I35)+1&gt;$I$9,"",I35+1)</f>
        <v/>
      </c>
      <c r="J36" s="142" t="s">
        <v>179</v>
      </c>
      <c r="O36" s="142" t="str">
        <f t="shared" si="0"/>
        <v/>
      </c>
      <c r="P36" s="142">
        <v>1</v>
      </c>
    </row>
    <row r="37" spans="1:16" s="142" customFormat="1" x14ac:dyDescent="0.2">
      <c r="B37" s="142" t="s">
        <v>179</v>
      </c>
      <c r="C37" s="142" t="s">
        <v>179</v>
      </c>
      <c r="D37" s="142" t="s">
        <v>179</v>
      </c>
      <c r="E37" s="150" t="s">
        <v>179</v>
      </c>
      <c r="F37" s="151" t="s">
        <v>179</v>
      </c>
      <c r="G37" s="152" t="str">
        <f t="shared" si="2"/>
        <v/>
      </c>
      <c r="I37" s="142" t="str">
        <f>IF(MAX($I$11:I36)+1&gt;$I$9,"",I36+1)</f>
        <v/>
      </c>
      <c r="J37" s="142" t="s">
        <v>179</v>
      </c>
      <c r="O37" s="142" t="str">
        <f t="shared" si="0"/>
        <v/>
      </c>
      <c r="P37" s="142">
        <v>1</v>
      </c>
    </row>
    <row r="38" spans="1:16" s="142" customFormat="1" x14ac:dyDescent="0.2">
      <c r="B38" s="142" t="s">
        <v>179</v>
      </c>
      <c r="C38" s="142" t="s">
        <v>179</v>
      </c>
      <c r="D38" s="142" t="s">
        <v>179</v>
      </c>
      <c r="E38" s="150" t="s">
        <v>179</v>
      </c>
      <c r="F38" s="151" t="s">
        <v>179</v>
      </c>
      <c r="G38" s="152" t="str">
        <f t="shared" si="2"/>
        <v/>
      </c>
      <c r="I38" s="142" t="str">
        <f>IF(MAX($I$11:I37)+1&gt;$I$9,"",I37+1)</f>
        <v/>
      </c>
      <c r="J38" s="142" t="s">
        <v>179</v>
      </c>
      <c r="O38" s="142" t="str">
        <f t="shared" si="0"/>
        <v/>
      </c>
      <c r="P38" s="142">
        <v>1</v>
      </c>
    </row>
    <row r="39" spans="1:16" s="142" customFormat="1" ht="16" customHeight="1" x14ac:dyDescent="0.2">
      <c r="B39" s="153" t="s">
        <v>141</v>
      </c>
      <c r="C39" s="154"/>
      <c r="D39" s="153"/>
      <c r="E39" s="155">
        <f>SUM(E11:E38)</f>
        <v>271766084</v>
      </c>
      <c r="F39" s="156"/>
      <c r="G39" s="153"/>
      <c r="H39" s="153"/>
      <c r="I39" s="153"/>
      <c r="J39" s="153"/>
      <c r="O39" s="143" t="str">
        <f t="shared" si="0"/>
        <v/>
      </c>
      <c r="P39" s="142">
        <v>1</v>
      </c>
    </row>
    <row r="40" spans="1:16" s="142" customFormat="1" x14ac:dyDescent="0.2">
      <c r="F40" s="157"/>
      <c r="G40" s="150"/>
      <c r="I40" s="150" t="b">
        <v>1</v>
      </c>
      <c r="O40" s="142" t="str">
        <f t="shared" si="0"/>
        <v/>
      </c>
      <c r="P40" s="142">
        <v>1</v>
      </c>
    </row>
    <row r="41" spans="1:16" s="142" customFormat="1" x14ac:dyDescent="0.2">
      <c r="O41" s="142" t="str">
        <f t="shared" si="0"/>
        <v/>
      </c>
      <c r="P41" s="142">
        <v>1</v>
      </c>
    </row>
    <row r="42" spans="1:16" s="142" customFormat="1" x14ac:dyDescent="0.2">
      <c r="A42" s="146" t="s">
        <v>142</v>
      </c>
      <c r="O42" s="142" t="str">
        <f t="shared" si="0"/>
        <v/>
      </c>
      <c r="P42" s="142">
        <v>1</v>
      </c>
    </row>
    <row r="43" spans="1:16" s="142" customFormat="1" x14ac:dyDescent="0.2">
      <c r="A43" s="142" t="s">
        <v>145</v>
      </c>
      <c r="G43" s="147" t="s">
        <v>7</v>
      </c>
      <c r="I43" s="142">
        <v>1</v>
      </c>
      <c r="O43" s="142" t="str">
        <f t="shared" si="0"/>
        <v/>
      </c>
      <c r="P43" s="142">
        <v>1</v>
      </c>
    </row>
    <row r="44" spans="1:16" s="142" customFormat="1" x14ac:dyDescent="0.2">
      <c r="B44" s="148" t="s">
        <v>133</v>
      </c>
      <c r="C44" s="148" t="s">
        <v>134</v>
      </c>
      <c r="D44" s="148" t="s">
        <v>135</v>
      </c>
      <c r="E44" s="148" t="s">
        <v>136</v>
      </c>
      <c r="F44" s="148" t="s">
        <v>137</v>
      </c>
      <c r="G44" s="148" t="s">
        <v>138</v>
      </c>
      <c r="H44" s="143"/>
      <c r="I44" s="149" t="s">
        <v>143</v>
      </c>
      <c r="J44" s="149" t="s">
        <v>140</v>
      </c>
      <c r="O44" s="143" t="str">
        <f>IFERROR(IF(D44&lt;&gt;"",IF(D44&lt;&gt;$D$10,1,""),""),"")</f>
        <v/>
      </c>
      <c r="P44" s="142">
        <v>1</v>
      </c>
    </row>
    <row r="45" spans="1:16" s="142" customFormat="1" x14ac:dyDescent="0.2">
      <c r="B45" s="143" t="str">
        <f>$A$43</f>
        <v>差入保証金</v>
      </c>
      <c r="C45" s="145" t="s">
        <v>144</v>
      </c>
      <c r="D45" s="142" t="s">
        <v>189</v>
      </c>
      <c r="E45" s="158">
        <v>10000</v>
      </c>
      <c r="F45" s="151">
        <v>0</v>
      </c>
      <c r="G45" s="150">
        <f>E45*F45</f>
        <v>0</v>
      </c>
      <c r="I45" s="145">
        <v>1</v>
      </c>
      <c r="J45" s="142">
        <v>201</v>
      </c>
      <c r="O45" s="143">
        <f t="shared" ref="O45:O85" si="3">IFERROR(IF(D45&lt;&gt;"",IF(D45&lt;&gt;$D$10,1,""),""),"")</f>
        <v>1</v>
      </c>
      <c r="P45" s="142">
        <v>1</v>
      </c>
    </row>
    <row r="46" spans="1:16" s="142" customFormat="1" x14ac:dyDescent="0.2">
      <c r="B46" s="143" t="str">
        <f>$A$43</f>
        <v>差入保証金</v>
      </c>
      <c r="C46" s="145" t="s">
        <v>145</v>
      </c>
      <c r="D46" s="142" t="s">
        <v>184</v>
      </c>
      <c r="E46" s="158">
        <v>14589</v>
      </c>
      <c r="F46" s="151">
        <v>1</v>
      </c>
      <c r="G46" s="150">
        <f>E46*F46</f>
        <v>14589</v>
      </c>
      <c r="I46" s="143">
        <f>IF(C46&lt;&gt;"",I45+1,"")</f>
        <v>2</v>
      </c>
      <c r="J46" s="142">
        <v>1301</v>
      </c>
      <c r="O46" s="143">
        <f t="shared" si="3"/>
        <v>1</v>
      </c>
      <c r="P46" s="142">
        <v>1</v>
      </c>
    </row>
    <row r="47" spans="1:16" s="142" customFormat="1" x14ac:dyDescent="0.2">
      <c r="B47" s="143"/>
      <c r="C47" s="143"/>
      <c r="E47" s="159"/>
      <c r="F47" s="157"/>
      <c r="G47" s="150"/>
      <c r="I47" s="143" t="str">
        <f t="shared" ref="I47" si="4">IF(C47&lt;&gt;"",I46+1,"")</f>
        <v/>
      </c>
      <c r="J47" s="142" t="s">
        <v>179</v>
      </c>
      <c r="O47" s="143" t="str">
        <f t="shared" si="3"/>
        <v/>
      </c>
      <c r="P47" s="142">
        <v>1</v>
      </c>
    </row>
    <row r="48" spans="1:16" s="142" customFormat="1" ht="16" customHeight="1" x14ac:dyDescent="0.2">
      <c r="B48" s="153" t="s">
        <v>141</v>
      </c>
      <c r="C48" s="153"/>
      <c r="D48" s="153"/>
      <c r="E48" s="155">
        <f>SUM(E45:E47)</f>
        <v>24589</v>
      </c>
      <c r="F48" s="156"/>
      <c r="G48" s="153"/>
      <c r="H48" s="153"/>
      <c r="I48" s="153"/>
      <c r="J48" s="153"/>
      <c r="O48" s="143" t="str">
        <f t="shared" si="3"/>
        <v/>
      </c>
      <c r="P48" s="142">
        <v>1</v>
      </c>
    </row>
    <row r="49" spans="1:16" s="142" customFormat="1" x14ac:dyDescent="0.2">
      <c r="I49" s="142" t="b">
        <v>1</v>
      </c>
      <c r="O49" s="142" t="str">
        <f t="shared" si="3"/>
        <v/>
      </c>
      <c r="P49" s="142">
        <v>1</v>
      </c>
    </row>
    <row r="50" spans="1:16" s="142" customFormat="1" x14ac:dyDescent="0.2">
      <c r="A50" s="142" t="e">
        <v>#N/A</v>
      </c>
      <c r="G50" s="147" t="s">
        <v>7</v>
      </c>
      <c r="I50" s="142">
        <f>I43+1</f>
        <v>2</v>
      </c>
      <c r="O50" s="142" t="str">
        <f t="shared" si="3"/>
        <v/>
      </c>
      <c r="P50" s="142">
        <v>1</v>
      </c>
    </row>
    <row r="51" spans="1:16" s="142" customFormat="1" x14ac:dyDescent="0.2">
      <c r="B51" s="148" t="s">
        <v>133</v>
      </c>
      <c r="C51" s="148" t="s">
        <v>134</v>
      </c>
      <c r="D51" s="148" t="s">
        <v>135</v>
      </c>
      <c r="E51" s="148" t="s">
        <v>136</v>
      </c>
      <c r="F51" s="148" t="s">
        <v>137</v>
      </c>
      <c r="G51" s="148" t="s">
        <v>138</v>
      </c>
      <c r="H51" s="143"/>
      <c r="I51" s="149" t="s">
        <v>143</v>
      </c>
      <c r="J51" s="149" t="s">
        <v>140</v>
      </c>
      <c r="O51" s="143" t="str">
        <f t="shared" si="3"/>
        <v/>
      </c>
      <c r="P51" s="142">
        <v>1</v>
      </c>
    </row>
    <row r="52" spans="1:16" s="142" customFormat="1" x14ac:dyDescent="0.2">
      <c r="B52" s="143" t="e">
        <f>$A$50</f>
        <v>#N/A</v>
      </c>
      <c r="C52" s="145"/>
      <c r="D52" s="143" t="e">
        <v>#N/A</v>
      </c>
      <c r="E52" s="158"/>
      <c r="F52" s="160" t="e">
        <v>#N/A</v>
      </c>
      <c r="G52" s="159" t="e">
        <f>E52*F52</f>
        <v>#N/A</v>
      </c>
      <c r="H52" s="143"/>
      <c r="I52" s="145">
        <v>1</v>
      </c>
      <c r="J52" s="143" t="e">
        <v>#N/A</v>
      </c>
      <c r="O52" s="143" t="str">
        <f t="shared" si="3"/>
        <v/>
      </c>
      <c r="P52" s="142">
        <v>1</v>
      </c>
    </row>
    <row r="53" spans="1:16" s="142" customFormat="1" x14ac:dyDescent="0.2">
      <c r="B53" s="143" t="e">
        <f>$A$50</f>
        <v>#N/A</v>
      </c>
      <c r="C53" s="145"/>
      <c r="D53" s="143" t="e">
        <v>#N/A</v>
      </c>
      <c r="E53" s="158"/>
      <c r="F53" s="160" t="e">
        <v>#N/A</v>
      </c>
      <c r="G53" s="159" t="e">
        <f>E53*F53</f>
        <v>#N/A</v>
      </c>
      <c r="H53" s="143"/>
      <c r="I53" s="143" t="str">
        <f>IF(C53&lt;&gt;"",I52+1,"")</f>
        <v/>
      </c>
      <c r="J53" s="143" t="s">
        <v>179</v>
      </c>
      <c r="O53" s="143" t="str">
        <f t="shared" si="3"/>
        <v/>
      </c>
      <c r="P53" s="142">
        <v>1</v>
      </c>
    </row>
    <row r="54" spans="1:16" s="142" customFormat="1" x14ac:dyDescent="0.2">
      <c r="B54" s="143"/>
      <c r="C54" s="143"/>
      <c r="D54" s="143"/>
      <c r="E54" s="159"/>
      <c r="F54" s="160"/>
      <c r="G54" s="159"/>
      <c r="H54" s="143"/>
      <c r="I54" s="143" t="str">
        <f t="shared" ref="I54" si="5">IF(C54&lt;&gt;"",I53+1,"")</f>
        <v/>
      </c>
      <c r="J54" s="143" t="s">
        <v>179</v>
      </c>
      <c r="O54" s="143" t="str">
        <f t="shared" si="3"/>
        <v/>
      </c>
      <c r="P54" s="142">
        <v>1</v>
      </c>
    </row>
    <row r="55" spans="1:16" s="142" customFormat="1" ht="17.5" customHeight="1" x14ac:dyDescent="0.2">
      <c r="B55" s="153" t="s">
        <v>141</v>
      </c>
      <c r="C55" s="153"/>
      <c r="D55" s="153"/>
      <c r="E55" s="155">
        <f>SUM(E52:E54)</f>
        <v>0</v>
      </c>
      <c r="F55" s="156"/>
      <c r="G55" s="153"/>
      <c r="H55" s="153"/>
      <c r="I55" s="153"/>
      <c r="J55" s="153" t="s">
        <v>179</v>
      </c>
      <c r="O55" s="143" t="str">
        <f t="shared" si="3"/>
        <v/>
      </c>
      <c r="P55" s="142">
        <v>1</v>
      </c>
    </row>
    <row r="56" spans="1:16" s="142" customFormat="1" x14ac:dyDescent="0.2">
      <c r="A56" s="146"/>
      <c r="B56" s="143"/>
      <c r="C56" s="143"/>
      <c r="D56" s="143"/>
      <c r="E56" s="143"/>
      <c r="F56" s="143"/>
      <c r="G56" s="143"/>
      <c r="H56" s="143"/>
      <c r="I56" s="143"/>
      <c r="J56" s="143"/>
      <c r="O56" s="143"/>
    </row>
    <row r="57" spans="1:16" s="142" customFormat="1" x14ac:dyDescent="0.2">
      <c r="A57" s="142" t="s">
        <v>146</v>
      </c>
      <c r="B57" s="143"/>
      <c r="C57" s="143"/>
      <c r="D57" s="143"/>
      <c r="E57" s="159"/>
      <c r="F57" s="160"/>
      <c r="G57" s="161" t="s">
        <v>7</v>
      </c>
      <c r="H57" s="143"/>
      <c r="I57" s="143"/>
      <c r="J57" s="143"/>
      <c r="O57" s="143" t="str">
        <f t="shared" ref="O57:O64" si="6">IFERROR(IF(D57&lt;&gt;"",IF(D57&lt;&gt;$D$10,1,""),""),"")</f>
        <v/>
      </c>
      <c r="P57" s="142">
        <v>1</v>
      </c>
    </row>
    <row r="58" spans="1:16" s="142" customFormat="1" x14ac:dyDescent="0.2">
      <c r="A58" s="146" t="s">
        <v>147</v>
      </c>
      <c r="B58" s="143"/>
      <c r="C58" s="143"/>
      <c r="D58" s="143"/>
      <c r="E58" s="159"/>
      <c r="F58" s="160"/>
      <c r="G58" s="160"/>
      <c r="H58" s="143"/>
      <c r="I58" s="143">
        <v>2</v>
      </c>
      <c r="J58" s="143"/>
      <c r="O58" s="143" t="str">
        <f t="shared" si="6"/>
        <v/>
      </c>
      <c r="P58" s="142">
        <v>1</v>
      </c>
    </row>
    <row r="59" spans="1:16" s="142" customFormat="1" x14ac:dyDescent="0.2">
      <c r="B59" s="148" t="s">
        <v>133</v>
      </c>
      <c r="C59" s="148" t="s">
        <v>134</v>
      </c>
      <c r="D59" s="148" t="s">
        <v>135</v>
      </c>
      <c r="E59" s="148" t="s">
        <v>136</v>
      </c>
      <c r="F59" s="160"/>
      <c r="G59" s="160"/>
      <c r="H59" s="143"/>
      <c r="I59" s="149" t="s">
        <v>139</v>
      </c>
      <c r="J59" s="143"/>
      <c r="O59" s="143" t="str">
        <f t="shared" si="6"/>
        <v/>
      </c>
      <c r="P59" s="142">
        <v>1</v>
      </c>
    </row>
    <row r="60" spans="1:16" s="142" customFormat="1" x14ac:dyDescent="0.2">
      <c r="B60" s="142" t="s">
        <v>64</v>
      </c>
      <c r="C60" s="142" t="s">
        <v>190</v>
      </c>
      <c r="D60" s="142" t="s">
        <v>191</v>
      </c>
      <c r="E60" s="150">
        <v>88194</v>
      </c>
      <c r="F60" s="157"/>
      <c r="G60" s="157"/>
      <c r="I60" s="142">
        <v>1</v>
      </c>
      <c r="O60" s="142">
        <f t="shared" si="6"/>
        <v>1</v>
      </c>
      <c r="P60" s="142">
        <v>1</v>
      </c>
    </row>
    <row r="61" spans="1:16" s="142" customFormat="1" x14ac:dyDescent="0.2">
      <c r="B61" s="142" t="s">
        <v>65</v>
      </c>
      <c r="C61" s="142" t="s">
        <v>190</v>
      </c>
      <c r="D61" s="142" t="s">
        <v>191</v>
      </c>
      <c r="E61" s="150">
        <v>1056974</v>
      </c>
      <c r="F61" s="157"/>
      <c r="G61" s="157"/>
      <c r="I61" s="142">
        <f>IF(MAX($I$59:I60)+1&gt;$I$58,"",I60+1)</f>
        <v>2</v>
      </c>
      <c r="O61" s="142">
        <f t="shared" si="6"/>
        <v>1</v>
      </c>
      <c r="P61" s="142">
        <v>1</v>
      </c>
    </row>
    <row r="62" spans="1:16" s="142" customFormat="1" x14ac:dyDescent="0.2">
      <c r="E62" s="150"/>
      <c r="F62" s="157"/>
      <c r="G62" s="150"/>
      <c r="O62" s="142" t="str">
        <f>IFERROR(IF(D62&lt;&gt;"",IF(D62&lt;&gt;$D$10,1,""),""),"")</f>
        <v/>
      </c>
      <c r="P62" s="142">
        <v>1</v>
      </c>
    </row>
    <row r="63" spans="1:16" s="142" customFormat="1" x14ac:dyDescent="0.2">
      <c r="B63" s="145"/>
      <c r="C63" s="145"/>
      <c r="D63" s="145"/>
      <c r="E63" s="158" t="s">
        <v>179</v>
      </c>
      <c r="F63" s="157"/>
      <c r="G63" s="150"/>
      <c r="I63" s="142" t="str">
        <f>IF(MAX($I$59:I61)+1&gt;$I$58,"",I61+1)</f>
        <v/>
      </c>
      <c r="O63" s="142" t="str">
        <f t="shared" si="6"/>
        <v/>
      </c>
      <c r="P63" s="142">
        <v>1</v>
      </c>
    </row>
    <row r="64" spans="1:16" s="142" customFormat="1" ht="17.5" customHeight="1" x14ac:dyDescent="0.2">
      <c r="B64" s="153" t="s">
        <v>141</v>
      </c>
      <c r="C64" s="153"/>
      <c r="D64" s="153"/>
      <c r="E64" s="155">
        <f>SUM(E60:E63)</f>
        <v>1145168</v>
      </c>
      <c r="F64" s="156"/>
      <c r="G64" s="153"/>
      <c r="H64" s="153"/>
      <c r="I64" s="153"/>
      <c r="J64" s="153" t="s">
        <v>179</v>
      </c>
      <c r="O64" s="143" t="str">
        <f t="shared" si="6"/>
        <v/>
      </c>
      <c r="P64" s="142">
        <v>1</v>
      </c>
    </row>
    <row r="65" spans="1:16" s="142" customFormat="1" x14ac:dyDescent="0.2">
      <c r="E65" s="150"/>
      <c r="F65" s="157"/>
      <c r="G65" s="150"/>
      <c r="O65" s="142" t="str">
        <f>IFERROR(IF(D65&lt;&gt;"",IF(D65&lt;&gt;$D$10,1,""),""),"")</f>
        <v/>
      </c>
      <c r="P65" s="142">
        <v>1</v>
      </c>
    </row>
    <row r="66" spans="1:16" s="142" customFormat="1" x14ac:dyDescent="0.2">
      <c r="E66" s="150"/>
      <c r="F66" s="157"/>
      <c r="G66" s="150"/>
      <c r="O66" s="142" t="str">
        <f>IFERROR(IF(D66&lt;&gt;"",IF(D66&lt;&gt;$D$10,1,""),""),"")</f>
        <v/>
      </c>
      <c r="P66" s="142">
        <v>1</v>
      </c>
    </row>
    <row r="67" spans="1:16" s="142" customFormat="1" ht="24.65" customHeight="1" x14ac:dyDescent="0.2">
      <c r="B67" s="153" t="s">
        <v>148</v>
      </c>
      <c r="C67" s="153"/>
      <c r="D67" s="153"/>
      <c r="E67" s="155">
        <f>E39+E48+E55+E64</f>
        <v>272935841</v>
      </c>
      <c r="F67" s="156"/>
      <c r="G67" s="153"/>
      <c r="H67" s="153"/>
      <c r="I67" s="153"/>
      <c r="J67" s="153"/>
      <c r="O67" s="143" t="str">
        <f>IFERROR(IF(D67&lt;&gt;"",IF(D67&lt;&gt;$D$10,1,""),""),"")</f>
        <v/>
      </c>
      <c r="P67" s="142">
        <v>1</v>
      </c>
    </row>
    <row r="68" spans="1:16" s="142" customFormat="1" x14ac:dyDescent="0.2">
      <c r="F68" s="157"/>
      <c r="G68" s="150"/>
      <c r="I68" s="142" t="b">
        <v>1</v>
      </c>
      <c r="O68" s="142" t="str">
        <f>IFERROR(IF(D68&lt;&gt;"",IF(D68&lt;&gt;$D$10,1,""),""),"")</f>
        <v/>
      </c>
      <c r="P68" s="142">
        <v>1</v>
      </c>
    </row>
    <row r="69" spans="1:16" s="142" customFormat="1" x14ac:dyDescent="0.2">
      <c r="E69" s="150"/>
      <c r="O69" s="142" t="str">
        <f>IFERROR(IF(D69&lt;&gt;"",IF(D69&lt;&gt;$D$10,1,""),""),"")</f>
        <v/>
      </c>
      <c r="P69" s="142">
        <v>1</v>
      </c>
    </row>
    <row r="70" spans="1:16" s="142" customFormat="1" x14ac:dyDescent="0.2">
      <c r="A70" s="146"/>
      <c r="E70" s="150"/>
      <c r="F70" s="150"/>
      <c r="O70" s="142" t="str">
        <f t="shared" ref="O70:O110" si="7">IFERROR(IF(D70&lt;&gt;"",IF(D70&lt;&gt;$D$10,1,""),""),"")</f>
        <v/>
      </c>
      <c r="P70" s="142">
        <v>1</v>
      </c>
    </row>
    <row r="71" spans="1:16" s="142" customFormat="1" x14ac:dyDescent="0.2">
      <c r="A71" s="146" t="s">
        <v>149</v>
      </c>
    </row>
    <row r="72" spans="1:16" s="142" customFormat="1" x14ac:dyDescent="0.2">
      <c r="B72" s="148" t="s">
        <v>133</v>
      </c>
      <c r="C72" s="148" t="s">
        <v>134</v>
      </c>
      <c r="D72" s="148" t="s">
        <v>135</v>
      </c>
      <c r="E72" s="148" t="s">
        <v>150</v>
      </c>
      <c r="F72" s="148" t="s">
        <v>137</v>
      </c>
      <c r="G72" s="148" t="s">
        <v>138</v>
      </c>
      <c r="H72" s="143"/>
      <c r="I72" s="149" t="s">
        <v>143</v>
      </c>
      <c r="J72" s="149" t="s">
        <v>140</v>
      </c>
      <c r="O72" s="143" t="str">
        <f t="shared" ref="O72:O77" si="8">IFERROR(IF(D72&lt;&gt;"",IF(D72&lt;&gt;$D$10,1,""),""),"")</f>
        <v/>
      </c>
      <c r="P72" s="142">
        <v>1</v>
      </c>
    </row>
    <row r="73" spans="1:16" s="142" customFormat="1" x14ac:dyDescent="0.2">
      <c r="B73" s="143" t="str">
        <f>$A$71</f>
        <v>e. 不動産（鑑定評価額）</v>
      </c>
      <c r="C73" s="145" t="s">
        <v>151</v>
      </c>
      <c r="D73" s="142" t="s">
        <v>181</v>
      </c>
      <c r="E73" s="158">
        <v>318030000</v>
      </c>
      <c r="F73" s="162">
        <v>1</v>
      </c>
      <c r="G73" s="159">
        <f>E73*F73</f>
        <v>318030000</v>
      </c>
      <c r="H73" s="143"/>
      <c r="I73" s="145">
        <v>1</v>
      </c>
      <c r="J73" s="143">
        <v>2202</v>
      </c>
      <c r="O73" s="143">
        <f t="shared" si="8"/>
        <v>1</v>
      </c>
      <c r="P73" s="142">
        <v>1</v>
      </c>
    </row>
    <row r="74" spans="1:16" s="142" customFormat="1" x14ac:dyDescent="0.2">
      <c r="B74" s="143"/>
      <c r="C74" s="143"/>
      <c r="E74" s="159"/>
      <c r="F74" s="162" t="s">
        <v>179</v>
      </c>
      <c r="G74" s="159"/>
      <c r="H74" s="143"/>
      <c r="I74" s="143" t="str">
        <f>IF(C74&lt;&gt;"",#REF!+1,"")</f>
        <v/>
      </c>
      <c r="J74" s="143" t="s">
        <v>179</v>
      </c>
      <c r="O74" s="143" t="str">
        <f t="shared" si="8"/>
        <v/>
      </c>
      <c r="P74" s="142">
        <v>1</v>
      </c>
    </row>
    <row r="75" spans="1:16" s="142" customFormat="1" x14ac:dyDescent="0.2"/>
    <row r="76" spans="1:16" s="142" customFormat="1" x14ac:dyDescent="0.2">
      <c r="B76" s="142" t="s">
        <v>152</v>
      </c>
      <c r="C76" s="145" t="s">
        <v>153</v>
      </c>
      <c r="D76" s="142" t="s">
        <v>186</v>
      </c>
      <c r="E76" s="142">
        <f>SUMIFS($E$11:$E$39,$D$11:$D$39,D76)</f>
        <v>13944481</v>
      </c>
      <c r="F76" s="162"/>
      <c r="G76" s="159"/>
      <c r="I76" s="145">
        <v>100</v>
      </c>
    </row>
    <row r="77" spans="1:16" s="142" customFormat="1" ht="17.5" customHeight="1" x14ac:dyDescent="0.2">
      <c r="B77" s="153" t="s">
        <v>141</v>
      </c>
      <c r="C77" s="153"/>
      <c r="D77" s="153"/>
      <c r="E77" s="155">
        <f>SUM(E73:E74)-E76</f>
        <v>304085519</v>
      </c>
      <c r="F77" s="156">
        <v>1</v>
      </c>
      <c r="G77" s="155">
        <f>E77*F77</f>
        <v>304085519</v>
      </c>
      <c r="H77" s="153"/>
      <c r="I77" s="153"/>
      <c r="J77" s="153" t="s">
        <v>179</v>
      </c>
      <c r="O77" s="143" t="str">
        <f t="shared" ref="O77:O85" si="9">IFERROR(IF(D77&lt;&gt;"",IF(D77&lt;&gt;$D$10,1,""),""),"")</f>
        <v/>
      </c>
      <c r="P77" s="142">
        <v>1</v>
      </c>
    </row>
    <row r="78" spans="1:16" s="142" customFormat="1" x14ac:dyDescent="0.2">
      <c r="O78" s="142" t="str">
        <f t="shared" si="9"/>
        <v/>
      </c>
      <c r="P78" s="142">
        <v>1</v>
      </c>
    </row>
    <row r="79" spans="1:16" s="142" customFormat="1" x14ac:dyDescent="0.2"/>
    <row r="80" spans="1:16" s="142" customFormat="1" x14ac:dyDescent="0.2"/>
    <row r="81" spans="2:16" s="142" customFormat="1" x14ac:dyDescent="0.2">
      <c r="E81" s="150"/>
      <c r="F81" s="157"/>
      <c r="G81" s="150"/>
      <c r="O81" s="142" t="str">
        <f>IFERROR(IF(D81&lt;&gt;"",IF(D81&lt;&gt;$D$10,1,""),""),"")</f>
        <v/>
      </c>
      <c r="P81" s="142">
        <v>1</v>
      </c>
    </row>
    <row r="82" spans="2:16" s="142" customFormat="1" ht="24.65" customHeight="1" x14ac:dyDescent="0.2">
      <c r="B82" s="153" t="s">
        <v>154</v>
      </c>
      <c r="C82" s="153"/>
      <c r="D82" s="153"/>
      <c r="E82" s="155">
        <f>E67-E64+E77-SUMIFS($E$11:$E$39,$D$11:$D$39,$D$73)</f>
        <v>338540249</v>
      </c>
      <c r="F82" s="156"/>
      <c r="G82" s="153"/>
      <c r="H82" s="153"/>
      <c r="I82" s="153"/>
      <c r="J82" s="153"/>
      <c r="O82" s="143" t="str">
        <f>IFERROR(IF(D82&lt;&gt;"",IF(D82&lt;&gt;$D$10,1,""),""),"")</f>
        <v/>
      </c>
      <c r="P82" s="142">
        <v>1</v>
      </c>
    </row>
    <row r="83" spans="2:16" s="142" customFormat="1" x14ac:dyDescent="0.2">
      <c r="F83" s="157"/>
      <c r="G83" s="150"/>
      <c r="I83" s="142" t="b">
        <f>ABS(E82-SUMIFS($E$11:$E$38,F11:F38,"欄外")-'RA表（オンバラ）'!G53)&lt;100</f>
        <v>1</v>
      </c>
      <c r="O83" s="142" t="str">
        <f>IFERROR(IF(D83&lt;&gt;"",IF(D83&lt;&gt;$D$10,1,""),""),"")</f>
        <v/>
      </c>
      <c r="P83" s="142">
        <v>1</v>
      </c>
    </row>
    <row r="84" spans="2:16" s="142" customFormat="1" x14ac:dyDescent="0.2">
      <c r="O84" s="142" t="str">
        <f>IFERROR(IF(D84&lt;&gt;"",IF(D84&lt;&gt;$D$10,1,""),""),"")</f>
        <v/>
      </c>
      <c r="P84" s="142">
        <v>1</v>
      </c>
    </row>
    <row r="85" spans="2:16" s="142" customFormat="1" x14ac:dyDescent="0.2">
      <c r="D85" s="150"/>
      <c r="O85" s="142" t="str">
        <f t="shared" si="9"/>
        <v/>
      </c>
      <c r="P85" s="142">
        <v>1</v>
      </c>
    </row>
    <row r="86" spans="2:16" s="142" customFormat="1" x14ac:dyDescent="0.2"/>
    <row r="87" spans="2:16" s="142" customFormat="1" x14ac:dyDescent="0.2">
      <c r="D87" s="150"/>
    </row>
    <row r="88" spans="2:16" s="142" customFormat="1" x14ac:dyDescent="0.2"/>
    <row r="89" spans="2:16" s="142" customFormat="1" x14ac:dyDescent="0.2"/>
    <row r="90" spans="2:16" s="142" customFormat="1" x14ac:dyDescent="0.2"/>
    <row r="91" spans="2:16" s="142" customFormat="1" x14ac:dyDescent="0.2"/>
    <row r="92" spans="2:16" s="142" customFormat="1" x14ac:dyDescent="0.2"/>
  </sheetData>
  <autoFilter ref="A1:P85" xr:uid="{6D966BD6-B994-4B20-BEEE-0539851C72BD}"/>
  <phoneticPr fontId="5"/>
  <pageMargins left="0.70866141732283472" right="0.70866141732283472" top="0.74803149606299213" bottom="0.74803149606299213" header="0.31496062992125984" footer="0.31496062992125984"/>
  <pageSetup paperSize="8" scale="60" orientation="portrait" r:id="rId1"/>
  <headerFooter>
    <oddHeader xml:space="preserve">&amp;C
&amp;G
</oddHeader>
  </headerFooter>
  <rowBreaks count="1" manualBreakCount="1">
    <brk id="5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3B2D-ACDB-40E1-88FC-2E3CAD9E56BE}">
  <sheetPr>
    <tabColor theme="9" tint="0.79998168889431442"/>
    <pageSetUpPr fitToPage="1"/>
  </sheetPr>
  <dimension ref="A1:T183"/>
  <sheetViews>
    <sheetView view="pageBreakPreview" zoomScale="55" zoomScaleNormal="85" zoomScaleSheetLayoutView="55" workbookViewId="0">
      <selection activeCell="C38" sqref="C38"/>
    </sheetView>
  </sheetViews>
  <sheetFormatPr defaultColWidth="8.90625" defaultRowHeight="13" x14ac:dyDescent="0.2"/>
  <cols>
    <col min="1" max="1" width="8.90625" style="164"/>
    <col min="2" max="2" width="22.453125" style="163" customWidth="1"/>
    <col min="3" max="3" width="27.08984375" style="163" bestFit="1" customWidth="1"/>
    <col min="4" max="4" width="55.453125" style="163" bestFit="1" customWidth="1"/>
    <col min="5" max="5" width="18.453125" style="163" customWidth="1"/>
    <col min="6" max="6" width="12.453125" style="163" bestFit="1" customWidth="1"/>
    <col min="7" max="7" width="19" style="163" customWidth="1"/>
    <col min="8" max="9" width="18.90625" style="163" customWidth="1"/>
    <col min="10" max="12" width="14.90625" style="163" customWidth="1"/>
    <col min="13" max="13" width="8.90625" style="164"/>
    <col min="14" max="14" width="10" style="163" customWidth="1"/>
    <col min="15" max="15" width="10.90625" style="163" customWidth="1"/>
    <col min="16" max="16" width="8.90625" style="163"/>
    <col min="17" max="17" width="32.90625" style="163" bestFit="1" customWidth="1"/>
    <col min="18" max="18" width="15.90625" style="163" bestFit="1" customWidth="1"/>
    <col min="19" max="19" width="7.08984375" style="163" customWidth="1"/>
    <col min="20" max="16384" width="8.90625" style="163"/>
  </cols>
  <sheetData>
    <row r="1" spans="1:20" x14ac:dyDescent="0.2">
      <c r="A1" s="144" t="s">
        <v>155</v>
      </c>
    </row>
    <row r="2" spans="1:20" x14ac:dyDescent="0.2">
      <c r="A2" s="142"/>
      <c r="B2" s="143"/>
      <c r="C2" s="143"/>
      <c r="D2" s="143"/>
      <c r="E2" s="143"/>
      <c r="F2" s="143"/>
      <c r="G2" s="143"/>
      <c r="H2" s="143"/>
      <c r="I2" s="143"/>
      <c r="J2" s="143"/>
      <c r="K2" s="143"/>
      <c r="L2" s="165" t="s">
        <v>7</v>
      </c>
      <c r="M2" s="142"/>
      <c r="N2" s="143"/>
      <c r="O2" s="143"/>
      <c r="P2" s="143"/>
      <c r="Q2" s="143"/>
    </row>
    <row r="3" spans="1:20" x14ac:dyDescent="0.2">
      <c r="A3" s="142"/>
      <c r="B3" s="143"/>
      <c r="C3" s="143"/>
      <c r="D3" s="143"/>
      <c r="E3" s="143"/>
      <c r="F3" s="143"/>
      <c r="G3" s="143"/>
      <c r="H3" s="143"/>
      <c r="I3" s="143"/>
      <c r="J3" s="143"/>
      <c r="K3" s="143"/>
      <c r="L3" s="142"/>
      <c r="M3" s="142"/>
      <c r="N3" s="143"/>
      <c r="O3" s="145" t="s">
        <v>156</v>
      </c>
      <c r="P3" s="143"/>
      <c r="Q3" s="143"/>
    </row>
    <row r="4" spans="1:20" s="164" customFormat="1" x14ac:dyDescent="0.2">
      <c r="A4" s="142" t="s">
        <v>113</v>
      </c>
      <c r="B4" s="142"/>
      <c r="C4" s="142"/>
      <c r="D4" s="142"/>
      <c r="E4" s="142"/>
      <c r="F4" s="142"/>
      <c r="G4" s="142"/>
      <c r="H4" s="142"/>
      <c r="I4" s="142"/>
      <c r="J4" s="142"/>
      <c r="K4" s="142"/>
      <c r="L4" s="142"/>
      <c r="M4" s="142"/>
      <c r="N4" s="142"/>
      <c r="O4" s="142"/>
      <c r="P4" s="142"/>
      <c r="Q4" s="142" t="s">
        <v>157</v>
      </c>
    </row>
    <row r="5" spans="1:20" x14ac:dyDescent="0.2">
      <c r="A5" s="142"/>
      <c r="B5" s="148" t="s">
        <v>158</v>
      </c>
      <c r="C5" s="148" t="s">
        <v>134</v>
      </c>
      <c r="D5" s="148" t="s">
        <v>159</v>
      </c>
      <c r="E5" s="148" t="s">
        <v>95</v>
      </c>
      <c r="F5" s="148" t="s">
        <v>160</v>
      </c>
      <c r="G5" s="148" t="s">
        <v>161</v>
      </c>
      <c r="H5" s="148" t="s">
        <v>162</v>
      </c>
      <c r="I5" s="148" t="s">
        <v>163</v>
      </c>
      <c r="J5" s="148" t="s">
        <v>164</v>
      </c>
      <c r="K5" s="148" t="s">
        <v>157</v>
      </c>
      <c r="L5" s="148" t="s">
        <v>165</v>
      </c>
      <c r="M5" s="142"/>
      <c r="N5" s="148" t="s">
        <v>166</v>
      </c>
      <c r="O5" s="148" t="s">
        <v>167</v>
      </c>
      <c r="P5" s="143"/>
      <c r="Q5" s="148" t="s">
        <v>168</v>
      </c>
      <c r="R5" s="148" t="s">
        <v>169</v>
      </c>
      <c r="S5" s="148" t="s">
        <v>170</v>
      </c>
      <c r="T5" s="148" t="s">
        <v>171</v>
      </c>
    </row>
    <row r="6" spans="1:20" x14ac:dyDescent="0.2">
      <c r="A6" s="142"/>
      <c r="B6" s="145" t="s">
        <v>113</v>
      </c>
      <c r="C6" s="166" t="s">
        <v>213</v>
      </c>
      <c r="D6" s="142" t="s">
        <v>191</v>
      </c>
      <c r="E6" s="158">
        <v>2562000</v>
      </c>
      <c r="F6" s="157">
        <v>0.3</v>
      </c>
      <c r="G6" s="150">
        <f>IF(F6&lt;&gt;"",H6*F6,"")</f>
        <v>4617.3433500000001</v>
      </c>
      <c r="H6" s="150">
        <f>IF(E6&lt;&gt;"",(L6+E6*K6)*1.5,"")</f>
        <v>15391.144500000002</v>
      </c>
      <c r="I6" s="167">
        <f>IF(E6="","",'RA表（オンバラ）'!$C$5)</f>
        <v>45991</v>
      </c>
      <c r="J6" s="168">
        <v>46171</v>
      </c>
      <c r="K6" s="169">
        <f>IF(E6="","",VLOOKUP(O6,$S$6:$T$8,2,1))</f>
        <v>0</v>
      </c>
      <c r="L6" s="158">
        <v>10260.763000000001</v>
      </c>
      <c r="M6" s="142"/>
      <c r="N6" s="143">
        <v>110003</v>
      </c>
      <c r="O6" s="170">
        <f>IF(E6="","",YEARFRAC(I6,J6,1))</f>
        <v>0.49315068493150682</v>
      </c>
      <c r="P6" s="143"/>
      <c r="Q6" s="143" t="s">
        <v>172</v>
      </c>
      <c r="R6" s="163" t="s">
        <v>173</v>
      </c>
      <c r="S6" s="163">
        <v>0</v>
      </c>
      <c r="T6" s="171">
        <v>0</v>
      </c>
    </row>
    <row r="7" spans="1:20" x14ac:dyDescent="0.2">
      <c r="A7" s="142"/>
      <c r="B7" s="145" t="s">
        <v>113</v>
      </c>
      <c r="C7" s="166" t="s">
        <v>214</v>
      </c>
      <c r="D7" s="142" t="s">
        <v>191</v>
      </c>
      <c r="E7" s="158">
        <v>3700000</v>
      </c>
      <c r="F7" s="157">
        <v>0.2</v>
      </c>
      <c r="G7" s="150">
        <f t="shared" ref="G7:G43" si="0">IF(F7&lt;&gt;"",H7*F7,"")</f>
        <v>2979.0983999999999</v>
      </c>
      <c r="H7" s="150">
        <f t="shared" ref="H7:H43" si="1">IF(E7&lt;&gt;"",(L7+E7*K7)*1.5,"")</f>
        <v>14895.491999999998</v>
      </c>
      <c r="I7" s="167">
        <f>IF(E7="","",'RA表（オンバラ）'!$C$5)</f>
        <v>45991</v>
      </c>
      <c r="J7" s="168">
        <v>46173</v>
      </c>
      <c r="K7" s="169">
        <f t="shared" ref="K7:K44" si="2">IF(E7="","",VLOOKUP(O7,$S$6:$T$8,2,1))</f>
        <v>0</v>
      </c>
      <c r="L7" s="158">
        <v>9930.3279999999995</v>
      </c>
      <c r="M7" s="142"/>
      <c r="N7" s="143">
        <v>110003</v>
      </c>
      <c r="O7" s="170">
        <f t="shared" ref="O7:O44" si="3">IF(E7="","",YEARFRAC(I7,J7,1))</f>
        <v>0.49863013698630138</v>
      </c>
      <c r="P7" s="143"/>
      <c r="Q7" s="143"/>
      <c r="R7" s="163" t="s">
        <v>174</v>
      </c>
      <c r="S7" s="163">
        <v>1</v>
      </c>
      <c r="T7" s="171">
        <v>5.0000000000000001E-3</v>
      </c>
    </row>
    <row r="8" spans="1:20" x14ac:dyDescent="0.2">
      <c r="A8" s="142"/>
      <c r="B8" s="145" t="s">
        <v>113</v>
      </c>
      <c r="C8" s="166" t="s">
        <v>213</v>
      </c>
      <c r="D8" s="142" t="s">
        <v>191</v>
      </c>
      <c r="E8" s="158">
        <v>4000000</v>
      </c>
      <c r="F8" s="157">
        <v>0.3</v>
      </c>
      <c r="G8" s="150">
        <f t="shared" si="0"/>
        <v>25697.02275</v>
      </c>
      <c r="H8" s="150">
        <f t="shared" si="1"/>
        <v>85656.742500000008</v>
      </c>
      <c r="I8" s="167">
        <f>IF(E8="","",'RA表（オンバラ）'!$C$5)</f>
        <v>45991</v>
      </c>
      <c r="J8" s="168">
        <v>46356</v>
      </c>
      <c r="K8" s="169">
        <f t="shared" si="2"/>
        <v>5.0000000000000001E-3</v>
      </c>
      <c r="L8" s="158">
        <v>37104.495000000003</v>
      </c>
      <c r="M8" s="142"/>
      <c r="N8" s="143">
        <v>110003</v>
      </c>
      <c r="O8" s="170">
        <f t="shared" si="3"/>
        <v>1</v>
      </c>
      <c r="P8" s="143"/>
      <c r="Q8" s="172"/>
      <c r="R8" s="173" t="s">
        <v>175</v>
      </c>
      <c r="S8" s="173">
        <v>5</v>
      </c>
      <c r="T8" s="174">
        <v>1.4999999999999999E-2</v>
      </c>
    </row>
    <row r="9" spans="1:20" x14ac:dyDescent="0.2">
      <c r="A9" s="142"/>
      <c r="B9" s="145" t="s">
        <v>113</v>
      </c>
      <c r="C9" s="166" t="s">
        <v>213</v>
      </c>
      <c r="D9" s="142" t="s">
        <v>191</v>
      </c>
      <c r="E9" s="158">
        <v>2100000</v>
      </c>
      <c r="F9" s="157">
        <v>0.3</v>
      </c>
      <c r="G9" s="150">
        <f t="shared" si="0"/>
        <v>15773.498549999998</v>
      </c>
      <c r="H9" s="150">
        <f t="shared" si="1"/>
        <v>52578.328499999996</v>
      </c>
      <c r="I9" s="167">
        <f>IF(E9="","",'RA表（オンバラ）'!$C$5)</f>
        <v>45991</v>
      </c>
      <c r="J9" s="168">
        <v>46356</v>
      </c>
      <c r="K9" s="169">
        <f t="shared" si="2"/>
        <v>5.0000000000000001E-3</v>
      </c>
      <c r="L9" s="158">
        <v>24552.219000000001</v>
      </c>
      <c r="M9" s="142"/>
      <c r="N9" s="143">
        <v>110003</v>
      </c>
      <c r="O9" s="170">
        <f t="shared" si="3"/>
        <v>1</v>
      </c>
      <c r="P9" s="143"/>
      <c r="Q9" s="143" t="s">
        <v>176</v>
      </c>
      <c r="R9" s="163" t="s">
        <v>173</v>
      </c>
      <c r="S9" s="163">
        <v>0</v>
      </c>
      <c r="T9" s="171">
        <v>0.01</v>
      </c>
    </row>
    <row r="10" spans="1:20" x14ac:dyDescent="0.2">
      <c r="A10" s="142"/>
      <c r="B10" s="145" t="s">
        <v>113</v>
      </c>
      <c r="C10" s="166" t="s">
        <v>215</v>
      </c>
      <c r="D10" s="142" t="s">
        <v>191</v>
      </c>
      <c r="E10" s="158">
        <v>900000</v>
      </c>
      <c r="F10" s="157">
        <v>0.2</v>
      </c>
      <c r="G10" s="150">
        <f t="shared" si="0"/>
        <v>3253.8855000000003</v>
      </c>
      <c r="H10" s="150">
        <f t="shared" si="1"/>
        <v>16269.4275</v>
      </c>
      <c r="I10" s="167">
        <f>IF(E10="","",'RA表（オンバラ）'!$C$5)</f>
        <v>45991</v>
      </c>
      <c r="J10" s="168">
        <v>46356</v>
      </c>
      <c r="K10" s="169">
        <f t="shared" si="2"/>
        <v>5.0000000000000001E-3</v>
      </c>
      <c r="L10" s="158">
        <v>6346.2849999999999</v>
      </c>
      <c r="M10" s="142"/>
      <c r="N10" s="143">
        <v>110003</v>
      </c>
      <c r="O10" s="170">
        <f t="shared" si="3"/>
        <v>1</v>
      </c>
      <c r="P10" s="143"/>
      <c r="Q10" s="143"/>
      <c r="R10" s="163" t="s">
        <v>174</v>
      </c>
      <c r="S10" s="163">
        <v>1</v>
      </c>
      <c r="T10" s="171">
        <v>0.05</v>
      </c>
    </row>
    <row r="11" spans="1:20" x14ac:dyDescent="0.2">
      <c r="A11" s="142"/>
      <c r="B11" s="145" t="s">
        <v>113</v>
      </c>
      <c r="C11" s="166" t="s">
        <v>215</v>
      </c>
      <c r="D11" s="142" t="s">
        <v>191</v>
      </c>
      <c r="E11" s="158">
        <v>3520000</v>
      </c>
      <c r="F11" s="157">
        <v>0.2</v>
      </c>
      <c r="G11" s="150">
        <f t="shared" si="0"/>
        <v>23339.889600000002</v>
      </c>
      <c r="H11" s="150">
        <f t="shared" si="1"/>
        <v>116699.448</v>
      </c>
      <c r="I11" s="167">
        <f>IF(E11="","",'RA表（オンバラ）'!$C$5)</f>
        <v>45991</v>
      </c>
      <c r="J11" s="168">
        <v>46538</v>
      </c>
      <c r="K11" s="169">
        <f t="shared" si="2"/>
        <v>5.0000000000000001E-3</v>
      </c>
      <c r="L11" s="158">
        <v>60199.631999999998</v>
      </c>
      <c r="M11" s="142"/>
      <c r="N11" s="143">
        <v>110003</v>
      </c>
      <c r="O11" s="170">
        <f t="shared" si="3"/>
        <v>1.4986301369863013</v>
      </c>
      <c r="P11" s="143"/>
      <c r="Q11" s="143"/>
      <c r="R11" s="163" t="s">
        <v>175</v>
      </c>
      <c r="S11" s="163">
        <v>5</v>
      </c>
      <c r="T11" s="171">
        <v>7.4999999999999997E-2</v>
      </c>
    </row>
    <row r="12" spans="1:20" x14ac:dyDescent="0.2">
      <c r="A12" s="142"/>
      <c r="B12" s="145" t="s">
        <v>113</v>
      </c>
      <c r="C12" s="166" t="s">
        <v>215</v>
      </c>
      <c r="D12" s="142" t="s">
        <v>191</v>
      </c>
      <c r="E12" s="158">
        <v>1100000</v>
      </c>
      <c r="F12" s="157">
        <v>0.2</v>
      </c>
      <c r="G12" s="150">
        <f t="shared" si="0"/>
        <v>7293.7157999999999</v>
      </c>
      <c r="H12" s="150">
        <f t="shared" si="1"/>
        <v>36468.578999999998</v>
      </c>
      <c r="I12" s="167">
        <f>IF(E12="","",'RA表（オンバラ）'!$C$5)</f>
        <v>45991</v>
      </c>
      <c r="J12" s="168">
        <v>46538</v>
      </c>
      <c r="K12" s="169">
        <f t="shared" si="2"/>
        <v>5.0000000000000001E-3</v>
      </c>
      <c r="L12" s="158">
        <v>18812.385999999999</v>
      </c>
      <c r="M12" s="142"/>
      <c r="N12" s="143">
        <v>110003</v>
      </c>
      <c r="O12" s="170">
        <f t="shared" si="3"/>
        <v>1.4986301369863013</v>
      </c>
      <c r="P12" s="143"/>
      <c r="Q12" s="143"/>
    </row>
    <row r="13" spans="1:20" x14ac:dyDescent="0.2">
      <c r="A13" s="142"/>
      <c r="B13" s="145" t="s">
        <v>113</v>
      </c>
      <c r="C13" s="175" t="s">
        <v>213</v>
      </c>
      <c r="D13" s="142" t="s">
        <v>191</v>
      </c>
      <c r="E13" s="158">
        <v>2435000</v>
      </c>
      <c r="F13" s="157">
        <v>0.3</v>
      </c>
      <c r="G13" s="150">
        <f t="shared" si="0"/>
        <v>14378.6124</v>
      </c>
      <c r="H13" s="150">
        <f t="shared" si="1"/>
        <v>47928.707999999999</v>
      </c>
      <c r="I13" s="167">
        <f>IF(E13="","",'RA表（オンバラ）'!$C$5)</f>
        <v>45991</v>
      </c>
      <c r="J13" s="168">
        <v>46538</v>
      </c>
      <c r="K13" s="169">
        <f t="shared" si="2"/>
        <v>5.0000000000000001E-3</v>
      </c>
      <c r="L13" s="158">
        <v>19777.472000000002</v>
      </c>
      <c r="M13" s="142"/>
      <c r="N13" s="143">
        <v>110003</v>
      </c>
      <c r="O13" s="170">
        <f t="shared" si="3"/>
        <v>1.4986301369863013</v>
      </c>
      <c r="P13" s="143"/>
      <c r="Q13" s="143"/>
    </row>
    <row r="14" spans="1:20" x14ac:dyDescent="0.2">
      <c r="A14" s="142"/>
      <c r="B14" s="145" t="s">
        <v>113</v>
      </c>
      <c r="C14" s="175" t="s">
        <v>213</v>
      </c>
      <c r="D14" s="142" t="s">
        <v>191</v>
      </c>
      <c r="E14" s="158">
        <v>4250000</v>
      </c>
      <c r="F14" s="157">
        <v>0.3</v>
      </c>
      <c r="G14" s="150">
        <f t="shared" si="0"/>
        <v>53558.810999999994</v>
      </c>
      <c r="H14" s="150">
        <f t="shared" si="1"/>
        <v>178529.37</v>
      </c>
      <c r="I14" s="167">
        <f>IF(E14="","",'RA表（オンバラ）'!$C$5)</f>
        <v>45991</v>
      </c>
      <c r="J14" s="168">
        <v>46689</v>
      </c>
      <c r="K14" s="169">
        <f t="shared" si="2"/>
        <v>5.0000000000000001E-3</v>
      </c>
      <c r="L14" s="158">
        <v>97769.58</v>
      </c>
      <c r="M14" s="142"/>
      <c r="N14" s="143">
        <v>110003</v>
      </c>
      <c r="O14" s="170">
        <f t="shared" si="3"/>
        <v>1.9123287671232876</v>
      </c>
      <c r="P14" s="143"/>
      <c r="Q14" s="143"/>
    </row>
    <row r="15" spans="1:20" x14ac:dyDescent="0.2">
      <c r="A15" s="142"/>
      <c r="B15" s="145" t="s">
        <v>113</v>
      </c>
      <c r="C15" s="175" t="s">
        <v>216</v>
      </c>
      <c r="D15" s="142" t="s">
        <v>191</v>
      </c>
      <c r="E15" s="158">
        <v>3559200</v>
      </c>
      <c r="F15" s="157">
        <v>0.3</v>
      </c>
      <c r="G15" s="150">
        <f t="shared" si="0"/>
        <v>59633.500050000002</v>
      </c>
      <c r="H15" s="150">
        <f t="shared" si="1"/>
        <v>198778.33350000001</v>
      </c>
      <c r="I15" s="167">
        <f>IF(E15="","",'RA表（オンバラ）'!$C$5)</f>
        <v>45991</v>
      </c>
      <c r="J15" s="168">
        <v>46904</v>
      </c>
      <c r="K15" s="169">
        <f t="shared" si="2"/>
        <v>5.0000000000000001E-3</v>
      </c>
      <c r="L15" s="158">
        <v>114722.889</v>
      </c>
      <c r="M15" s="142"/>
      <c r="N15" s="143">
        <v>110003</v>
      </c>
      <c r="O15" s="170">
        <f t="shared" si="3"/>
        <v>2.4996577686516086</v>
      </c>
      <c r="P15" s="143"/>
      <c r="Q15" s="143"/>
    </row>
    <row r="16" spans="1:20" x14ac:dyDescent="0.2">
      <c r="A16" s="142"/>
      <c r="B16" s="145" t="s">
        <v>113</v>
      </c>
      <c r="C16" s="166" t="s">
        <v>215</v>
      </c>
      <c r="D16" s="142" t="s">
        <v>191</v>
      </c>
      <c r="E16" s="158">
        <v>1400000</v>
      </c>
      <c r="F16" s="157">
        <v>0.2</v>
      </c>
      <c r="G16" s="150">
        <f t="shared" si="0"/>
        <v>11108.217000000001</v>
      </c>
      <c r="H16" s="150">
        <f t="shared" si="1"/>
        <v>55541.084999999999</v>
      </c>
      <c r="I16" s="167">
        <f>IF(E16="","",'RA表（オンバラ）'!$C$5)</f>
        <v>45991</v>
      </c>
      <c r="J16" s="168">
        <v>46904</v>
      </c>
      <c r="K16" s="169">
        <f t="shared" si="2"/>
        <v>5.0000000000000001E-3</v>
      </c>
      <c r="L16" s="158">
        <v>30027.39</v>
      </c>
      <c r="M16" s="142"/>
      <c r="N16" s="143">
        <v>110003</v>
      </c>
      <c r="O16" s="170">
        <f t="shared" si="3"/>
        <v>2.4996577686516086</v>
      </c>
      <c r="P16" s="143"/>
      <c r="Q16" s="143"/>
    </row>
    <row r="17" spans="1:17" x14ac:dyDescent="0.2">
      <c r="A17" s="142"/>
      <c r="B17" s="145" t="s">
        <v>113</v>
      </c>
      <c r="C17" s="175" t="s">
        <v>215</v>
      </c>
      <c r="D17" s="142" t="s">
        <v>191</v>
      </c>
      <c r="E17" s="158">
        <v>3860000</v>
      </c>
      <c r="F17" s="157">
        <v>0.2</v>
      </c>
      <c r="G17" s="150">
        <f t="shared" si="0"/>
        <v>28300.962300000003</v>
      </c>
      <c r="H17" s="150">
        <f t="shared" si="1"/>
        <v>141504.81150000001</v>
      </c>
      <c r="I17" s="167">
        <f>IF(E17="","",'RA表（オンバラ）'!$C$5)</f>
        <v>45991</v>
      </c>
      <c r="J17" s="168">
        <v>47057</v>
      </c>
      <c r="K17" s="169">
        <f t="shared" si="2"/>
        <v>5.0000000000000001E-3</v>
      </c>
      <c r="L17" s="158">
        <v>75036.540999999997</v>
      </c>
      <c r="M17" s="142"/>
      <c r="N17" s="143">
        <v>110003</v>
      </c>
      <c r="O17" s="170">
        <f t="shared" si="3"/>
        <v>2.9185489390828199</v>
      </c>
      <c r="P17" s="143"/>
      <c r="Q17" s="143"/>
    </row>
    <row r="18" spans="1:17" x14ac:dyDescent="0.2">
      <c r="A18" s="142"/>
      <c r="B18" s="145" t="s">
        <v>113</v>
      </c>
      <c r="C18" s="175" t="s">
        <v>216</v>
      </c>
      <c r="D18" s="142" t="s">
        <v>191</v>
      </c>
      <c r="E18" s="158">
        <v>1000000</v>
      </c>
      <c r="F18" s="157">
        <v>0.3</v>
      </c>
      <c r="G18" s="150">
        <f t="shared" si="0"/>
        <v>18093.255299999997</v>
      </c>
      <c r="H18" s="150">
        <f t="shared" si="1"/>
        <v>60310.850999999995</v>
      </c>
      <c r="I18" s="167">
        <f>IF(E18="","",'RA表（オンバラ）'!$C$5)</f>
        <v>45991</v>
      </c>
      <c r="J18" s="168">
        <v>47087</v>
      </c>
      <c r="K18" s="169">
        <f t="shared" si="2"/>
        <v>5.0000000000000001E-3</v>
      </c>
      <c r="L18" s="158">
        <v>35207.233999999997</v>
      </c>
      <c r="M18" s="142"/>
      <c r="N18" s="143">
        <v>110003</v>
      </c>
      <c r="O18" s="170">
        <f t="shared" si="3"/>
        <v>3.0006844626967832</v>
      </c>
      <c r="P18" s="143"/>
      <c r="Q18" s="143"/>
    </row>
    <row r="19" spans="1:17" x14ac:dyDescent="0.2">
      <c r="A19" s="142"/>
      <c r="B19" s="145" t="s">
        <v>113</v>
      </c>
      <c r="C19" s="175" t="s">
        <v>216</v>
      </c>
      <c r="D19" s="142" t="s">
        <v>191</v>
      </c>
      <c r="E19" s="158">
        <v>1000000</v>
      </c>
      <c r="F19" s="157">
        <v>0.3</v>
      </c>
      <c r="G19" s="150">
        <f t="shared" si="0"/>
        <v>18093.255299999997</v>
      </c>
      <c r="H19" s="150">
        <f t="shared" si="1"/>
        <v>60310.850999999995</v>
      </c>
      <c r="I19" s="167">
        <f>IF(E19="","",'RA表（オンバラ）'!$C$5)</f>
        <v>45991</v>
      </c>
      <c r="J19" s="168">
        <v>47087</v>
      </c>
      <c r="K19" s="169">
        <f t="shared" si="2"/>
        <v>5.0000000000000001E-3</v>
      </c>
      <c r="L19" s="158">
        <v>35207.233999999997</v>
      </c>
      <c r="M19" s="142"/>
      <c r="N19" s="143">
        <v>110003</v>
      </c>
      <c r="O19" s="170">
        <f t="shared" si="3"/>
        <v>3.0006844626967832</v>
      </c>
      <c r="P19" s="143"/>
      <c r="Q19" s="143"/>
    </row>
    <row r="20" spans="1:17" x14ac:dyDescent="0.2">
      <c r="A20" s="142"/>
      <c r="B20" s="145" t="s">
        <v>113</v>
      </c>
      <c r="C20" s="175" t="s">
        <v>216</v>
      </c>
      <c r="D20" s="142" t="s">
        <v>191</v>
      </c>
      <c r="E20" s="158">
        <v>1390000</v>
      </c>
      <c r="F20" s="157">
        <v>0.3</v>
      </c>
      <c r="G20" s="150">
        <f t="shared" si="0"/>
        <v>16969.33395</v>
      </c>
      <c r="H20" s="150">
        <f t="shared" si="1"/>
        <v>56564.446500000005</v>
      </c>
      <c r="I20" s="167">
        <f>IF(E20="","",'RA表（オンバラ）'!$C$5)</f>
        <v>45991</v>
      </c>
      <c r="J20" s="168">
        <v>47087</v>
      </c>
      <c r="K20" s="169">
        <f t="shared" si="2"/>
        <v>5.0000000000000001E-3</v>
      </c>
      <c r="L20" s="158">
        <v>30759.631000000001</v>
      </c>
      <c r="M20" s="142"/>
      <c r="N20" s="143">
        <v>110003</v>
      </c>
      <c r="O20" s="170">
        <f t="shared" si="3"/>
        <v>3.0006844626967832</v>
      </c>
      <c r="P20" s="143"/>
      <c r="Q20" s="143"/>
    </row>
    <row r="21" spans="1:17" x14ac:dyDescent="0.2">
      <c r="A21" s="142"/>
      <c r="B21" s="145" t="s">
        <v>113</v>
      </c>
      <c r="C21" s="175" t="s">
        <v>213</v>
      </c>
      <c r="D21" s="142" t="s">
        <v>191</v>
      </c>
      <c r="E21" s="158">
        <v>560000</v>
      </c>
      <c r="F21" s="157">
        <v>0.3</v>
      </c>
      <c r="G21" s="150">
        <f t="shared" si="0"/>
        <v>1403.2286999999999</v>
      </c>
      <c r="H21" s="150">
        <f t="shared" si="1"/>
        <v>4677.4290000000001</v>
      </c>
      <c r="I21" s="167">
        <f>IF(E21="","",'RA表（オンバラ）'!$C$5)</f>
        <v>45991</v>
      </c>
      <c r="J21" s="168">
        <v>47087</v>
      </c>
      <c r="K21" s="169">
        <f t="shared" si="2"/>
        <v>5.0000000000000001E-3</v>
      </c>
      <c r="L21" s="158">
        <v>318.286</v>
      </c>
      <c r="M21" s="142"/>
      <c r="N21" s="143">
        <v>110003</v>
      </c>
      <c r="O21" s="170">
        <f t="shared" si="3"/>
        <v>3.0006844626967832</v>
      </c>
      <c r="P21" s="143"/>
      <c r="Q21" s="143"/>
    </row>
    <row r="22" spans="1:17" x14ac:dyDescent="0.2">
      <c r="A22" s="142"/>
      <c r="B22" s="145" t="s">
        <v>113</v>
      </c>
      <c r="C22" s="175" t="s">
        <v>216</v>
      </c>
      <c r="D22" s="142" t="s">
        <v>191</v>
      </c>
      <c r="E22" s="158">
        <v>1000000</v>
      </c>
      <c r="F22" s="157">
        <v>0.3</v>
      </c>
      <c r="G22" s="150">
        <f t="shared" si="0"/>
        <v>21631.70565</v>
      </c>
      <c r="H22" s="150">
        <f t="shared" si="1"/>
        <v>72105.685500000007</v>
      </c>
      <c r="I22" s="167">
        <f>IF(E22="","",'RA表（オンバラ）'!$C$5)</f>
        <v>45991</v>
      </c>
      <c r="J22" s="168">
        <v>47269</v>
      </c>
      <c r="K22" s="169">
        <f t="shared" si="2"/>
        <v>5.0000000000000001E-3</v>
      </c>
      <c r="L22" s="158">
        <v>43070.457000000002</v>
      </c>
      <c r="M22" s="142"/>
      <c r="N22" s="143">
        <v>110003</v>
      </c>
      <c r="O22" s="170">
        <f t="shared" si="3"/>
        <v>3.4994523548740419</v>
      </c>
      <c r="P22" s="143"/>
      <c r="Q22" s="143"/>
    </row>
    <row r="23" spans="1:17" x14ac:dyDescent="0.2">
      <c r="A23" s="142"/>
      <c r="B23" s="145" t="s">
        <v>113</v>
      </c>
      <c r="C23" s="175" t="s">
        <v>213</v>
      </c>
      <c r="D23" s="142" t="s">
        <v>191</v>
      </c>
      <c r="E23" s="158">
        <v>900000</v>
      </c>
      <c r="F23" s="157">
        <v>0.3</v>
      </c>
      <c r="G23" s="150">
        <f t="shared" si="0"/>
        <v>14896.758149999998</v>
      </c>
      <c r="H23" s="150">
        <f t="shared" si="1"/>
        <v>49655.860499999995</v>
      </c>
      <c r="I23" s="167">
        <f>IF(E23="","",'RA表（オンバラ）'!$C$5)</f>
        <v>45991</v>
      </c>
      <c r="J23" s="168">
        <v>47269</v>
      </c>
      <c r="K23" s="169">
        <f t="shared" si="2"/>
        <v>5.0000000000000001E-3</v>
      </c>
      <c r="L23" s="158">
        <v>28603.906999999999</v>
      </c>
      <c r="M23" s="142"/>
      <c r="N23" s="143">
        <v>110003</v>
      </c>
      <c r="O23" s="170">
        <f t="shared" si="3"/>
        <v>3.4994523548740419</v>
      </c>
      <c r="P23" s="143"/>
      <c r="Q23" s="143"/>
    </row>
    <row r="24" spans="1:17" x14ac:dyDescent="0.2">
      <c r="A24" s="142"/>
      <c r="B24" s="145" t="s">
        <v>113</v>
      </c>
      <c r="C24" s="166" t="s">
        <v>215</v>
      </c>
      <c r="D24" s="142" t="s">
        <v>191</v>
      </c>
      <c r="E24" s="158">
        <v>700000</v>
      </c>
      <c r="F24" s="157">
        <v>0.2</v>
      </c>
      <c r="G24" s="150">
        <f t="shared" si="0"/>
        <v>5949.8054999999995</v>
      </c>
      <c r="H24" s="150">
        <f t="shared" si="1"/>
        <v>29749.027499999997</v>
      </c>
      <c r="I24" s="167">
        <f>IF(E24="","",'RA表（オンバラ）'!$C$5)</f>
        <v>45991</v>
      </c>
      <c r="J24" s="168">
        <v>47269</v>
      </c>
      <c r="K24" s="169">
        <f t="shared" si="2"/>
        <v>5.0000000000000001E-3</v>
      </c>
      <c r="L24" s="158">
        <v>16332.684999999999</v>
      </c>
      <c r="M24" s="142"/>
      <c r="N24" s="143">
        <v>110003</v>
      </c>
      <c r="O24" s="170">
        <f t="shared" si="3"/>
        <v>3.4994523548740419</v>
      </c>
      <c r="P24" s="143"/>
      <c r="Q24" s="143"/>
    </row>
    <row r="25" spans="1:17" x14ac:dyDescent="0.2">
      <c r="A25" s="142"/>
      <c r="B25" s="145" t="s">
        <v>113</v>
      </c>
      <c r="C25" s="175" t="s">
        <v>215</v>
      </c>
      <c r="D25" s="142" t="s">
        <v>191</v>
      </c>
      <c r="E25" s="158">
        <v>2300000</v>
      </c>
      <c r="F25" s="157">
        <v>0.2</v>
      </c>
      <c r="G25" s="150">
        <f t="shared" si="0"/>
        <v>18746.393700000001</v>
      </c>
      <c r="H25" s="150">
        <f t="shared" si="1"/>
        <v>93731.968500000003</v>
      </c>
      <c r="I25" s="167">
        <f>IF(E25="","",'RA表（オンバラ）'!$C$5)</f>
        <v>45991</v>
      </c>
      <c r="J25" s="168">
        <v>47269</v>
      </c>
      <c r="K25" s="169">
        <f t="shared" si="2"/>
        <v>5.0000000000000001E-3</v>
      </c>
      <c r="L25" s="158">
        <v>50987.978999999999</v>
      </c>
      <c r="M25" s="142"/>
      <c r="N25" s="143">
        <v>110003</v>
      </c>
      <c r="O25" s="170">
        <f t="shared" si="3"/>
        <v>3.4994523548740419</v>
      </c>
      <c r="P25" s="143"/>
      <c r="Q25" s="143"/>
    </row>
    <row r="26" spans="1:17" x14ac:dyDescent="0.2">
      <c r="A26" s="142"/>
      <c r="B26" s="145" t="s">
        <v>113</v>
      </c>
      <c r="C26" s="175" t="s">
        <v>213</v>
      </c>
      <c r="D26" s="142" t="s">
        <v>191</v>
      </c>
      <c r="E26" s="158">
        <v>1000000</v>
      </c>
      <c r="F26" s="157">
        <v>0.3</v>
      </c>
      <c r="G26" s="150">
        <f t="shared" si="0"/>
        <v>3128.04765</v>
      </c>
      <c r="H26" s="150">
        <f t="shared" si="1"/>
        <v>10426.825500000001</v>
      </c>
      <c r="I26" s="167">
        <f>IF(E26="","",'RA表（オンバラ）'!$C$5)</f>
        <v>45991</v>
      </c>
      <c r="J26" s="168">
        <v>47452</v>
      </c>
      <c r="K26" s="169">
        <f t="shared" si="2"/>
        <v>5.0000000000000001E-3</v>
      </c>
      <c r="L26" s="158">
        <v>1951.2170000000001</v>
      </c>
      <c r="M26" s="142"/>
      <c r="N26" s="143">
        <v>110003</v>
      </c>
      <c r="O26" s="170">
        <f t="shared" si="3"/>
        <v>4.0005476451259581</v>
      </c>
      <c r="P26" s="143"/>
      <c r="Q26" s="143"/>
    </row>
    <row r="27" spans="1:17" x14ac:dyDescent="0.2">
      <c r="A27" s="142"/>
      <c r="B27" s="145" t="s">
        <v>113</v>
      </c>
      <c r="C27" s="175" t="s">
        <v>215</v>
      </c>
      <c r="D27" s="142" t="s">
        <v>191</v>
      </c>
      <c r="E27" s="158">
        <v>600000</v>
      </c>
      <c r="F27" s="157">
        <v>0.2</v>
      </c>
      <c r="G27" s="150">
        <f t="shared" si="0"/>
        <v>5555.7432000000008</v>
      </c>
      <c r="H27" s="150">
        <f t="shared" si="1"/>
        <v>27778.716</v>
      </c>
      <c r="I27" s="167">
        <f>IF(E27="","",'RA表（オンバラ）'!$C$5)</f>
        <v>45991</v>
      </c>
      <c r="J27" s="168">
        <v>47452</v>
      </c>
      <c r="K27" s="169">
        <f t="shared" si="2"/>
        <v>5.0000000000000001E-3</v>
      </c>
      <c r="L27" s="158">
        <v>15519.144</v>
      </c>
      <c r="M27" s="142"/>
      <c r="N27" s="143">
        <v>110003</v>
      </c>
      <c r="O27" s="170">
        <f t="shared" si="3"/>
        <v>4.0005476451259581</v>
      </c>
      <c r="P27" s="143"/>
      <c r="Q27" s="143"/>
    </row>
    <row r="28" spans="1:17" x14ac:dyDescent="0.2">
      <c r="A28" s="142"/>
      <c r="B28" s="145" t="s">
        <v>113</v>
      </c>
      <c r="C28" s="175" t="s">
        <v>213</v>
      </c>
      <c r="D28" s="142" t="s">
        <v>191</v>
      </c>
      <c r="E28" s="158">
        <v>1200000</v>
      </c>
      <c r="F28" s="157">
        <v>0.3</v>
      </c>
      <c r="G28" s="150">
        <f t="shared" si="0"/>
        <v>3753.6569999999992</v>
      </c>
      <c r="H28" s="150">
        <f t="shared" si="1"/>
        <v>12512.189999999999</v>
      </c>
      <c r="I28" s="167">
        <f>IF(E28="","",'RA表（オンバラ）'!$C$5)</f>
        <v>45991</v>
      </c>
      <c r="J28" s="168">
        <v>47452</v>
      </c>
      <c r="K28" s="169">
        <f t="shared" si="2"/>
        <v>5.0000000000000001E-3</v>
      </c>
      <c r="L28" s="158">
        <v>2341.46</v>
      </c>
      <c r="M28" s="142"/>
      <c r="N28" s="143">
        <v>110003</v>
      </c>
      <c r="O28" s="170">
        <f t="shared" si="3"/>
        <v>4.0005476451259581</v>
      </c>
      <c r="P28" s="143"/>
      <c r="Q28" s="143"/>
    </row>
    <row r="29" spans="1:17" x14ac:dyDescent="0.2">
      <c r="A29" s="142"/>
      <c r="B29" s="145" t="s">
        <v>113</v>
      </c>
      <c r="C29" s="166" t="s">
        <v>215</v>
      </c>
      <c r="D29" s="142" t="s">
        <v>191</v>
      </c>
      <c r="E29" s="158">
        <v>3920000</v>
      </c>
      <c r="F29" s="157">
        <v>0.2</v>
      </c>
      <c r="G29" s="150">
        <f t="shared" si="0"/>
        <v>34874.838900000002</v>
      </c>
      <c r="H29" s="150">
        <f t="shared" si="1"/>
        <v>174374.19450000001</v>
      </c>
      <c r="I29" s="167">
        <f>IF(E29="","",'RA表（オンバラ）'!$C$5)</f>
        <v>45991</v>
      </c>
      <c r="J29" s="168">
        <v>47452</v>
      </c>
      <c r="K29" s="169">
        <f t="shared" si="2"/>
        <v>5.0000000000000001E-3</v>
      </c>
      <c r="L29" s="158">
        <v>96649.463000000003</v>
      </c>
      <c r="M29" s="142"/>
      <c r="N29" s="143">
        <v>110003</v>
      </c>
      <c r="O29" s="170">
        <f t="shared" si="3"/>
        <v>4.0005476451259581</v>
      </c>
      <c r="P29" s="143"/>
      <c r="Q29" s="143"/>
    </row>
    <row r="30" spans="1:17" x14ac:dyDescent="0.2">
      <c r="A30" s="142"/>
      <c r="B30" s="145" t="s">
        <v>113</v>
      </c>
      <c r="C30" s="175" t="s">
        <v>215</v>
      </c>
      <c r="D30" s="142" t="s">
        <v>191</v>
      </c>
      <c r="E30" s="158">
        <v>800000</v>
      </c>
      <c r="F30" s="157">
        <v>0.2</v>
      </c>
      <c r="G30" s="150">
        <f t="shared" si="0"/>
        <v>7373.9570999999996</v>
      </c>
      <c r="H30" s="150">
        <f t="shared" si="1"/>
        <v>36869.785499999998</v>
      </c>
      <c r="I30" s="167">
        <f>IF(E30="","",'RA表（オンバラ）'!$C$5)</f>
        <v>45991</v>
      </c>
      <c r="J30" s="168">
        <v>47513</v>
      </c>
      <c r="K30" s="169">
        <f t="shared" si="2"/>
        <v>5.0000000000000001E-3</v>
      </c>
      <c r="L30" s="158">
        <v>20579.857</v>
      </c>
      <c r="M30" s="142"/>
      <c r="N30" s="143">
        <v>110003</v>
      </c>
      <c r="O30" s="170">
        <f t="shared" si="3"/>
        <v>4.1679598356914651</v>
      </c>
      <c r="P30" s="143"/>
      <c r="Q30" s="143"/>
    </row>
    <row r="31" spans="1:17" x14ac:dyDescent="0.2">
      <c r="A31" s="142"/>
      <c r="B31" s="145" t="s">
        <v>113</v>
      </c>
      <c r="C31" s="175" t="s">
        <v>216</v>
      </c>
      <c r="D31" s="142" t="s">
        <v>191</v>
      </c>
      <c r="E31" s="158">
        <v>1090000</v>
      </c>
      <c r="F31" s="157">
        <v>0.3</v>
      </c>
      <c r="G31" s="150">
        <f t="shared" si="0"/>
        <v>10751.68485</v>
      </c>
      <c r="H31" s="150">
        <f t="shared" si="1"/>
        <v>35838.949500000002</v>
      </c>
      <c r="I31" s="167">
        <f>IF(E31="","",'RA表（オンバラ）'!$C$5)</f>
        <v>45991</v>
      </c>
      <c r="J31" s="168">
        <v>47634</v>
      </c>
      <c r="K31" s="169">
        <f t="shared" si="2"/>
        <v>5.0000000000000001E-3</v>
      </c>
      <c r="L31" s="158">
        <v>18442.633000000002</v>
      </c>
      <c r="M31" s="142"/>
      <c r="N31" s="143">
        <v>110003</v>
      </c>
      <c r="O31" s="170">
        <f t="shared" si="3"/>
        <v>4.4993153811045179</v>
      </c>
      <c r="P31" s="143"/>
      <c r="Q31" s="143"/>
    </row>
    <row r="32" spans="1:17" x14ac:dyDescent="0.2">
      <c r="A32" s="142"/>
      <c r="B32" s="145" t="s">
        <v>113</v>
      </c>
      <c r="C32" s="175" t="s">
        <v>215</v>
      </c>
      <c r="D32" s="142" t="s">
        <v>191</v>
      </c>
      <c r="E32" s="158">
        <v>1500000</v>
      </c>
      <c r="F32" s="157">
        <v>0.2</v>
      </c>
      <c r="G32" s="150">
        <f t="shared" si="0"/>
        <v>15463.509</v>
      </c>
      <c r="H32" s="150">
        <f t="shared" si="1"/>
        <v>77317.544999999998</v>
      </c>
      <c r="I32" s="167">
        <f>IF(E32="","",'RA表（オンバラ）'!$C$5)</f>
        <v>45991</v>
      </c>
      <c r="J32" s="168">
        <v>47634</v>
      </c>
      <c r="K32" s="169">
        <f t="shared" si="2"/>
        <v>5.0000000000000001E-3</v>
      </c>
      <c r="L32" s="158">
        <v>44045.03</v>
      </c>
      <c r="M32" s="142"/>
      <c r="N32" s="143">
        <v>110003</v>
      </c>
      <c r="O32" s="170">
        <f t="shared" si="3"/>
        <v>4.4993153811045179</v>
      </c>
      <c r="P32" s="143"/>
      <c r="Q32" s="143"/>
    </row>
    <row r="33" spans="1:20" x14ac:dyDescent="0.2">
      <c r="A33" s="142"/>
      <c r="B33" s="145" t="s">
        <v>113</v>
      </c>
      <c r="C33" s="175" t="s">
        <v>216</v>
      </c>
      <c r="D33" s="142" t="s">
        <v>191</v>
      </c>
      <c r="E33" s="158">
        <v>2980000</v>
      </c>
      <c r="F33" s="157">
        <v>0.3</v>
      </c>
      <c r="G33" s="150">
        <f t="shared" si="0"/>
        <v>29394.514800000001</v>
      </c>
      <c r="H33" s="150">
        <f t="shared" si="1"/>
        <v>97981.716</v>
      </c>
      <c r="I33" s="167">
        <f>IF(E33="","",'RA表（オンバラ）'!$C$5)</f>
        <v>45991</v>
      </c>
      <c r="J33" s="168">
        <v>47634</v>
      </c>
      <c r="K33" s="169">
        <f t="shared" si="2"/>
        <v>5.0000000000000001E-3</v>
      </c>
      <c r="L33" s="158">
        <v>50421.144</v>
      </c>
      <c r="M33" s="142"/>
      <c r="N33" s="143">
        <v>110003</v>
      </c>
      <c r="O33" s="170">
        <f t="shared" si="3"/>
        <v>4.4993153811045179</v>
      </c>
      <c r="P33" s="143"/>
      <c r="Q33" s="143"/>
    </row>
    <row r="34" spans="1:20" x14ac:dyDescent="0.2">
      <c r="A34" s="142"/>
      <c r="B34" s="145" t="s">
        <v>113</v>
      </c>
      <c r="C34" s="175" t="s">
        <v>216</v>
      </c>
      <c r="D34" s="142" t="s">
        <v>191</v>
      </c>
      <c r="E34" s="158">
        <v>1000000</v>
      </c>
      <c r="F34" s="157">
        <v>0.3</v>
      </c>
      <c r="G34" s="150">
        <f t="shared" si="0"/>
        <v>3763.2870000000003</v>
      </c>
      <c r="H34" s="150">
        <f t="shared" si="1"/>
        <v>12544.29</v>
      </c>
      <c r="I34" s="167">
        <f>IF(E34="","",'RA表（オンバラ）'!$C$5)</f>
        <v>45991</v>
      </c>
      <c r="J34" s="168">
        <v>47816</v>
      </c>
      <c r="K34" s="169">
        <f t="shared" si="2"/>
        <v>5.0000000000000001E-3</v>
      </c>
      <c r="L34" s="158">
        <v>3362.86</v>
      </c>
      <c r="M34" s="142"/>
      <c r="N34" s="143">
        <v>110003</v>
      </c>
      <c r="O34" s="170">
        <f t="shared" si="3"/>
        <v>4.9977179370150617</v>
      </c>
      <c r="P34" s="143"/>
      <c r="Q34" s="143"/>
    </row>
    <row r="35" spans="1:20" x14ac:dyDescent="0.2">
      <c r="A35" s="142"/>
      <c r="B35" s="145" t="s">
        <v>113</v>
      </c>
      <c r="C35" s="175" t="s">
        <v>216</v>
      </c>
      <c r="D35" s="142" t="s">
        <v>191</v>
      </c>
      <c r="E35" s="158">
        <v>2700000</v>
      </c>
      <c r="F35" s="157">
        <v>0.3</v>
      </c>
      <c r="G35" s="150">
        <f t="shared" si="0"/>
        <v>29781.810899999997</v>
      </c>
      <c r="H35" s="150">
        <f t="shared" si="1"/>
        <v>99272.702999999994</v>
      </c>
      <c r="I35" s="167">
        <f>IF(E35="","",'RA表（オンバラ）'!$C$5)</f>
        <v>45991</v>
      </c>
      <c r="J35" s="168">
        <v>47816</v>
      </c>
      <c r="K35" s="169">
        <f t="shared" si="2"/>
        <v>5.0000000000000001E-3</v>
      </c>
      <c r="L35" s="158">
        <v>52681.802000000003</v>
      </c>
      <c r="M35" s="142"/>
      <c r="N35" s="143">
        <v>110003</v>
      </c>
      <c r="O35" s="170">
        <f t="shared" si="3"/>
        <v>4.9977179370150617</v>
      </c>
      <c r="P35" s="143"/>
      <c r="Q35" s="143"/>
    </row>
    <row r="36" spans="1:20" x14ac:dyDescent="0.2">
      <c r="A36" s="142"/>
      <c r="B36" s="145" t="s">
        <v>113</v>
      </c>
      <c r="C36" s="175" t="s">
        <v>216</v>
      </c>
      <c r="D36" s="142" t="s">
        <v>191</v>
      </c>
      <c r="E36" s="158">
        <v>1175000</v>
      </c>
      <c r="F36" s="157">
        <v>0.3</v>
      </c>
      <c r="G36" s="150">
        <f t="shared" si="0"/>
        <v>2643.75</v>
      </c>
      <c r="H36" s="150">
        <f t="shared" si="1"/>
        <v>8812.5</v>
      </c>
      <c r="I36" s="167">
        <f>IF(E36="","",'RA表（オンバラ）'!$C$5)</f>
        <v>45991</v>
      </c>
      <c r="J36" s="168">
        <v>47816</v>
      </c>
      <c r="K36" s="169">
        <f t="shared" si="2"/>
        <v>5.0000000000000001E-3</v>
      </c>
      <c r="L36" s="158">
        <v>0</v>
      </c>
      <c r="M36" s="142"/>
      <c r="N36" s="143">
        <v>110003</v>
      </c>
      <c r="O36" s="170">
        <f t="shared" si="3"/>
        <v>4.9977179370150617</v>
      </c>
      <c r="P36" s="143"/>
      <c r="Q36" s="143"/>
    </row>
    <row r="37" spans="1:20" x14ac:dyDescent="0.2">
      <c r="A37" s="142"/>
      <c r="B37" s="145" t="s">
        <v>113</v>
      </c>
      <c r="C37" s="166" t="s">
        <v>215</v>
      </c>
      <c r="D37" s="142" t="s">
        <v>191</v>
      </c>
      <c r="E37" s="158">
        <v>2200000</v>
      </c>
      <c r="F37" s="157">
        <v>0.2</v>
      </c>
      <c r="G37" s="150">
        <f t="shared" si="0"/>
        <v>23984.8557</v>
      </c>
      <c r="H37" s="150">
        <f t="shared" si="1"/>
        <v>119924.2785</v>
      </c>
      <c r="I37" s="167">
        <f>IF(E37="","",'RA表（オンバラ）'!$C$5)</f>
        <v>45991</v>
      </c>
      <c r="J37" s="168">
        <v>47998</v>
      </c>
      <c r="K37" s="169">
        <f t="shared" si="2"/>
        <v>1.4999999999999999E-2</v>
      </c>
      <c r="L37" s="158">
        <v>46949.519</v>
      </c>
      <c r="M37" s="142"/>
      <c r="N37" s="143">
        <v>110003</v>
      </c>
      <c r="O37" s="170">
        <f t="shared" si="3"/>
        <v>5.4964788732394361</v>
      </c>
      <c r="P37" s="143"/>
      <c r="Q37" s="143"/>
    </row>
    <row r="38" spans="1:20" x14ac:dyDescent="0.2">
      <c r="A38" s="142"/>
      <c r="B38" s="145" t="s">
        <v>113</v>
      </c>
      <c r="C38" s="175" t="s">
        <v>216</v>
      </c>
      <c r="D38" s="142" t="s">
        <v>191</v>
      </c>
      <c r="E38" s="158">
        <v>3320000</v>
      </c>
      <c r="F38" s="157">
        <v>0.3</v>
      </c>
      <c r="G38" s="150">
        <f t="shared" si="0"/>
        <v>28980.965249999997</v>
      </c>
      <c r="H38" s="150">
        <f t="shared" si="1"/>
        <v>96603.217499999999</v>
      </c>
      <c r="I38" s="167">
        <f>IF(E38="","",'RA表（オンバラ）'!$C$5)</f>
        <v>45991</v>
      </c>
      <c r="J38" s="168">
        <v>47998</v>
      </c>
      <c r="K38" s="169">
        <f t="shared" si="2"/>
        <v>1.4999999999999999E-2</v>
      </c>
      <c r="L38" s="158">
        <v>14602.145</v>
      </c>
      <c r="M38" s="142"/>
      <c r="N38" s="143">
        <v>110003</v>
      </c>
      <c r="O38" s="170">
        <f t="shared" si="3"/>
        <v>5.4964788732394361</v>
      </c>
      <c r="P38" s="143"/>
      <c r="Q38" s="143"/>
    </row>
    <row r="39" spans="1:20" x14ac:dyDescent="0.2">
      <c r="A39" s="142"/>
      <c r="B39" s="145" t="s">
        <v>113</v>
      </c>
      <c r="C39" s="175" t="s">
        <v>213</v>
      </c>
      <c r="D39" s="142" t="s">
        <v>191</v>
      </c>
      <c r="E39" s="158">
        <v>800000</v>
      </c>
      <c r="F39" s="157">
        <v>0.3</v>
      </c>
      <c r="G39" s="150">
        <f t="shared" si="0"/>
        <v>14092.6464</v>
      </c>
      <c r="H39" s="150">
        <f t="shared" si="1"/>
        <v>46975.487999999998</v>
      </c>
      <c r="I39" s="167">
        <f>IF(E39="","",'RA表（オンバラ）'!$C$5)</f>
        <v>45991</v>
      </c>
      <c r="J39" s="168">
        <v>48180</v>
      </c>
      <c r="K39" s="169">
        <f t="shared" si="2"/>
        <v>1.4999999999999999E-2</v>
      </c>
      <c r="L39" s="158">
        <v>19316.991999999998</v>
      </c>
      <c r="M39" s="142"/>
      <c r="N39" s="143">
        <v>110003</v>
      </c>
      <c r="O39" s="170">
        <f t="shared" si="3"/>
        <v>5.9949139280125188</v>
      </c>
      <c r="P39" s="143"/>
      <c r="Q39" s="143"/>
    </row>
    <row r="40" spans="1:20" x14ac:dyDescent="0.2">
      <c r="A40" s="142"/>
      <c r="B40" s="145" t="s">
        <v>113</v>
      </c>
      <c r="C40" s="175" t="s">
        <v>216</v>
      </c>
      <c r="D40" s="142" t="s">
        <v>191</v>
      </c>
      <c r="E40" s="158">
        <v>500000</v>
      </c>
      <c r="F40" s="157">
        <v>0.3</v>
      </c>
      <c r="G40" s="150">
        <f t="shared" si="0"/>
        <v>9310.8910499999984</v>
      </c>
      <c r="H40" s="150">
        <f t="shared" si="1"/>
        <v>31036.303499999998</v>
      </c>
      <c r="I40" s="167">
        <f>IF(E40="","",'RA表（オンバラ）'!$C$5)</f>
        <v>45991</v>
      </c>
      <c r="J40" s="168">
        <v>48365</v>
      </c>
      <c r="K40" s="169">
        <f t="shared" si="2"/>
        <v>1.4999999999999999E-2</v>
      </c>
      <c r="L40" s="158">
        <v>13190.869000000001</v>
      </c>
      <c r="M40" s="142"/>
      <c r="N40" s="143">
        <v>110003</v>
      </c>
      <c r="O40" s="170">
        <f t="shared" si="3"/>
        <v>6.4996577686516082</v>
      </c>
      <c r="P40" s="143"/>
      <c r="Q40" s="143"/>
    </row>
    <row r="41" spans="1:20" x14ac:dyDescent="0.2">
      <c r="A41" s="142"/>
      <c r="B41" s="145" t="s">
        <v>113</v>
      </c>
      <c r="C41" s="175" t="s">
        <v>216</v>
      </c>
      <c r="D41" s="142" t="s">
        <v>191</v>
      </c>
      <c r="E41" s="158">
        <v>680000</v>
      </c>
      <c r="F41" s="157">
        <v>0.3</v>
      </c>
      <c r="G41" s="150">
        <f t="shared" si="0"/>
        <v>4628.9812499999998</v>
      </c>
      <c r="H41" s="150">
        <f t="shared" si="1"/>
        <v>15429.9375</v>
      </c>
      <c r="I41" s="167">
        <f>IF(E41="","",'RA表（オンバラ）'!$C$5)</f>
        <v>45991</v>
      </c>
      <c r="J41" s="168">
        <v>48365</v>
      </c>
      <c r="K41" s="169">
        <f t="shared" si="2"/>
        <v>1.4999999999999999E-2</v>
      </c>
      <c r="L41" s="158">
        <v>86.625</v>
      </c>
      <c r="M41" s="142"/>
      <c r="N41" s="143">
        <v>110003</v>
      </c>
      <c r="O41" s="170">
        <f t="shared" si="3"/>
        <v>6.4996577686516082</v>
      </c>
      <c r="P41" s="143"/>
      <c r="Q41" s="143"/>
    </row>
    <row r="42" spans="1:20" x14ac:dyDescent="0.2">
      <c r="A42" s="142"/>
      <c r="B42" s="145"/>
      <c r="C42" s="175"/>
      <c r="D42" s="142" t="s">
        <v>179</v>
      </c>
      <c r="E42" s="158"/>
      <c r="F42" s="157" t="s">
        <v>179</v>
      </c>
      <c r="G42" s="150" t="str">
        <f t="shared" si="0"/>
        <v/>
      </c>
      <c r="H42" s="150" t="str">
        <f t="shared" si="1"/>
        <v/>
      </c>
      <c r="I42" s="167" t="str">
        <f>IF(E42="","",'RA表（オンバラ）'!$C$5)</f>
        <v/>
      </c>
      <c r="J42" s="168"/>
      <c r="K42" s="169" t="str">
        <f t="shared" si="2"/>
        <v/>
      </c>
      <c r="L42" s="158"/>
      <c r="M42" s="142"/>
      <c r="N42" s="143" t="s">
        <v>179</v>
      </c>
      <c r="O42" s="170" t="str">
        <f t="shared" si="3"/>
        <v/>
      </c>
      <c r="P42" s="143"/>
      <c r="Q42" s="143"/>
    </row>
    <row r="43" spans="1:20" x14ac:dyDescent="0.2">
      <c r="A43" s="142"/>
      <c r="B43" s="145"/>
      <c r="C43" s="175"/>
      <c r="D43" s="142" t="s">
        <v>179</v>
      </c>
      <c r="E43" s="158"/>
      <c r="F43" s="157" t="s">
        <v>179</v>
      </c>
      <c r="G43" s="150" t="str">
        <f t="shared" si="0"/>
        <v/>
      </c>
      <c r="H43" s="150" t="str">
        <f t="shared" si="1"/>
        <v/>
      </c>
      <c r="I43" s="167" t="str">
        <f>IF(E43="","",'RA表（オンバラ）'!$C$5)</f>
        <v/>
      </c>
      <c r="J43" s="168"/>
      <c r="K43" s="169" t="str">
        <f t="shared" si="2"/>
        <v/>
      </c>
      <c r="L43" s="158"/>
      <c r="M43" s="142"/>
      <c r="N43" s="143" t="s">
        <v>179</v>
      </c>
      <c r="O43" s="170" t="str">
        <f t="shared" si="3"/>
        <v/>
      </c>
      <c r="P43" s="143"/>
      <c r="Q43" s="143"/>
    </row>
    <row r="44" spans="1:20" x14ac:dyDescent="0.2">
      <c r="A44" s="142"/>
      <c r="B44" s="153" t="s">
        <v>177</v>
      </c>
      <c r="C44" s="154"/>
      <c r="D44" s="153"/>
      <c r="E44" s="155"/>
      <c r="F44" s="156"/>
      <c r="G44" s="153"/>
      <c r="H44" s="153"/>
      <c r="I44" s="153" t="str">
        <f>IF(E44="","",'RA表（オンバラ）'!C16)</f>
        <v/>
      </c>
      <c r="J44" s="153"/>
      <c r="K44" s="153" t="str">
        <f t="shared" si="2"/>
        <v/>
      </c>
      <c r="L44" s="153"/>
      <c r="N44" s="153" t="s">
        <v>179</v>
      </c>
      <c r="O44" s="153" t="str">
        <f t="shared" si="3"/>
        <v/>
      </c>
      <c r="P44" s="143"/>
      <c r="Q44" s="143"/>
      <c r="R44" s="143"/>
      <c r="S44" s="143"/>
      <c r="T44" s="143"/>
    </row>
    <row r="45" spans="1:20" x14ac:dyDescent="0.2">
      <c r="B45" s="164"/>
      <c r="C45" s="164"/>
      <c r="D45" s="164"/>
      <c r="E45" s="176">
        <f>SUM(E6:E44)</f>
        <v>67701200</v>
      </c>
      <c r="F45" s="177">
        <f>IFERROR(G45/H45,"")</f>
        <v>0.25892163386395789</v>
      </c>
      <c r="G45" s="176">
        <f>SUM(G6:G44)</f>
        <v>593201.43300000008</v>
      </c>
      <c r="H45" s="176">
        <f>SUM(H6:H44)</f>
        <v>2291046.2294999994</v>
      </c>
      <c r="I45" s="164"/>
      <c r="J45" s="164"/>
      <c r="K45" s="164"/>
      <c r="L45" s="164"/>
      <c r="N45" s="164"/>
      <c r="O45" s="164"/>
      <c r="Q45" s="143"/>
      <c r="R45" s="143"/>
      <c r="S45" s="143"/>
      <c r="T45" s="143"/>
    </row>
    <row r="46" spans="1:20" x14ac:dyDescent="0.2">
      <c r="B46" s="164"/>
      <c r="C46" s="164"/>
      <c r="D46" s="164"/>
      <c r="E46" s="164"/>
      <c r="F46" s="164"/>
      <c r="G46" s="164"/>
      <c r="H46" s="164"/>
      <c r="I46" s="164"/>
      <c r="J46" s="164"/>
      <c r="K46" s="164"/>
      <c r="L46" s="164"/>
      <c r="N46" s="164"/>
      <c r="O46" s="164"/>
      <c r="Q46" s="143"/>
      <c r="R46" s="143"/>
      <c r="S46" s="143"/>
      <c r="T46" s="143"/>
    </row>
    <row r="47" spans="1:20" x14ac:dyDescent="0.2">
      <c r="A47" s="142" t="s">
        <v>110</v>
      </c>
      <c r="B47" s="142"/>
      <c r="C47" s="142"/>
      <c r="D47" s="142"/>
      <c r="E47" s="142"/>
      <c r="F47" s="142"/>
      <c r="G47" s="142"/>
      <c r="H47" s="142"/>
      <c r="I47" s="142"/>
      <c r="J47" s="142"/>
      <c r="K47" s="142"/>
      <c r="L47" s="34" t="s">
        <v>7</v>
      </c>
      <c r="M47" s="142"/>
      <c r="N47" s="142"/>
      <c r="O47" s="142"/>
      <c r="P47" s="143"/>
      <c r="Q47" s="143"/>
      <c r="R47" s="143"/>
      <c r="S47" s="143"/>
      <c r="T47" s="143"/>
    </row>
    <row r="48" spans="1:20" x14ac:dyDescent="0.2">
      <c r="A48" s="142"/>
      <c r="B48" s="148" t="s">
        <v>158</v>
      </c>
      <c r="C48" s="148" t="s">
        <v>134</v>
      </c>
      <c r="D48" s="148" t="s">
        <v>159</v>
      </c>
      <c r="E48" s="148" t="s">
        <v>95</v>
      </c>
      <c r="F48" s="148" t="s">
        <v>160</v>
      </c>
      <c r="G48" s="148" t="s">
        <v>161</v>
      </c>
      <c r="H48" s="148" t="s">
        <v>162</v>
      </c>
      <c r="I48" s="148" t="s">
        <v>163</v>
      </c>
      <c r="J48" s="148" t="s">
        <v>164</v>
      </c>
      <c r="K48" s="148" t="s">
        <v>157</v>
      </c>
      <c r="L48" s="148" t="s">
        <v>165</v>
      </c>
      <c r="M48" s="142"/>
      <c r="N48" s="148" t="s">
        <v>166</v>
      </c>
      <c r="O48" s="148" t="s">
        <v>167</v>
      </c>
      <c r="P48" s="143"/>
      <c r="Q48" s="143"/>
      <c r="R48" s="143"/>
      <c r="S48" s="143"/>
      <c r="T48" s="143"/>
    </row>
    <row r="49" spans="1:20" x14ac:dyDescent="0.2">
      <c r="A49" s="142"/>
      <c r="B49" s="145"/>
      <c r="C49" s="175"/>
      <c r="D49" s="142" t="s">
        <v>179</v>
      </c>
      <c r="E49" s="158"/>
      <c r="F49" s="157" t="s">
        <v>179</v>
      </c>
      <c r="G49" s="150" t="str">
        <f t="shared" ref="G49:G59" si="4">IF(F49&lt;&gt;"",H49*F49,"")</f>
        <v/>
      </c>
      <c r="H49" s="150" t="str">
        <f>IF(E49&lt;&gt;"",(L49+E49*K49)*1.5,"")</f>
        <v/>
      </c>
      <c r="I49" s="167" t="str">
        <f>IF(E49="","",'RA表（オンバラ）'!C21)</f>
        <v/>
      </c>
      <c r="J49" s="168"/>
      <c r="K49" s="169" t="str">
        <f>IF(E49="","",VLOOKUP(O49,$S$9:$T$11,2,1))</f>
        <v/>
      </c>
      <c r="L49" s="158"/>
      <c r="M49" s="142"/>
      <c r="N49" s="143" t="s">
        <v>179</v>
      </c>
      <c r="O49" s="170" t="str">
        <f>IF(E49="","",YEARFRAC(I49,J49,1))</f>
        <v/>
      </c>
      <c r="P49" s="143"/>
      <c r="Q49" s="143"/>
      <c r="R49" s="143"/>
      <c r="S49" s="143"/>
      <c r="T49" s="143"/>
    </row>
    <row r="50" spans="1:20" x14ac:dyDescent="0.2">
      <c r="A50" s="142"/>
      <c r="B50" s="145"/>
      <c r="C50" s="175"/>
      <c r="D50" s="142" t="s">
        <v>179</v>
      </c>
      <c r="E50" s="158"/>
      <c r="F50" s="157" t="s">
        <v>179</v>
      </c>
      <c r="G50" s="150" t="str">
        <f t="shared" si="4"/>
        <v/>
      </c>
      <c r="H50" s="150" t="str">
        <f t="shared" ref="H50:H59" si="5">IF(E50&lt;&gt;"",(L50+E50*K50)*1.5,"")</f>
        <v/>
      </c>
      <c r="I50" s="167" t="str">
        <f>IF(E50="","",'RA表（オンバラ）'!C22)</f>
        <v/>
      </c>
      <c r="J50" s="168"/>
      <c r="K50" s="169" t="str">
        <f t="shared" ref="K50:K60" si="6">IF(E50="","",VLOOKUP(O50,$S$9:$T$11,2,1))</f>
        <v/>
      </c>
      <c r="L50" s="158"/>
      <c r="M50" s="142"/>
      <c r="N50" s="143" t="s">
        <v>179</v>
      </c>
      <c r="O50" s="170" t="str">
        <f t="shared" ref="O50:O60" si="7">IF(E50="","",YEARFRAC(I50,J50,1))</f>
        <v/>
      </c>
      <c r="P50" s="143"/>
      <c r="Q50" s="143"/>
      <c r="R50" s="143"/>
      <c r="S50" s="143"/>
      <c r="T50" s="143"/>
    </row>
    <row r="51" spans="1:20" x14ac:dyDescent="0.2">
      <c r="A51" s="142"/>
      <c r="B51" s="145"/>
      <c r="C51" s="175"/>
      <c r="D51" s="142" t="s">
        <v>179</v>
      </c>
      <c r="E51" s="158"/>
      <c r="F51" s="157" t="s">
        <v>179</v>
      </c>
      <c r="G51" s="150" t="str">
        <f t="shared" si="4"/>
        <v/>
      </c>
      <c r="H51" s="150" t="str">
        <f t="shared" si="5"/>
        <v/>
      </c>
      <c r="I51" s="167" t="str">
        <f>IF(E51="","",'RA表（オンバラ）'!C23)</f>
        <v/>
      </c>
      <c r="J51" s="168"/>
      <c r="K51" s="169" t="str">
        <f t="shared" si="6"/>
        <v/>
      </c>
      <c r="L51" s="158"/>
      <c r="M51" s="142"/>
      <c r="N51" s="143" t="s">
        <v>179</v>
      </c>
      <c r="O51" s="170" t="str">
        <f t="shared" si="7"/>
        <v/>
      </c>
      <c r="P51" s="143"/>
      <c r="Q51" s="143"/>
      <c r="R51" s="143"/>
      <c r="S51" s="143"/>
      <c r="T51" s="143"/>
    </row>
    <row r="52" spans="1:20" x14ac:dyDescent="0.2">
      <c r="A52" s="142"/>
      <c r="B52" s="145"/>
      <c r="C52" s="175"/>
      <c r="D52" s="142" t="s">
        <v>179</v>
      </c>
      <c r="E52" s="158"/>
      <c r="F52" s="157" t="s">
        <v>179</v>
      </c>
      <c r="G52" s="150" t="str">
        <f t="shared" si="4"/>
        <v/>
      </c>
      <c r="H52" s="150" t="str">
        <f t="shared" si="5"/>
        <v/>
      </c>
      <c r="I52" s="167" t="str">
        <f>IF(E52="","",'RA表（オンバラ）'!C24)</f>
        <v/>
      </c>
      <c r="J52" s="168"/>
      <c r="K52" s="169" t="str">
        <f t="shared" si="6"/>
        <v/>
      </c>
      <c r="L52" s="158"/>
      <c r="M52" s="142"/>
      <c r="N52" s="143" t="s">
        <v>179</v>
      </c>
      <c r="O52" s="170" t="str">
        <f t="shared" si="7"/>
        <v/>
      </c>
      <c r="P52" s="143"/>
      <c r="Q52" s="143"/>
      <c r="R52" s="143"/>
      <c r="S52" s="143"/>
      <c r="T52" s="143"/>
    </row>
    <row r="53" spans="1:20" x14ac:dyDescent="0.2">
      <c r="A53" s="142"/>
      <c r="B53" s="145"/>
      <c r="C53" s="175"/>
      <c r="D53" s="142" t="s">
        <v>179</v>
      </c>
      <c r="E53" s="158"/>
      <c r="F53" s="157" t="s">
        <v>179</v>
      </c>
      <c r="G53" s="150" t="str">
        <f t="shared" si="4"/>
        <v/>
      </c>
      <c r="H53" s="150" t="str">
        <f t="shared" si="5"/>
        <v/>
      </c>
      <c r="I53" s="167" t="str">
        <f>IF(E53="","",'RA表（オンバラ）'!C25)</f>
        <v/>
      </c>
      <c r="J53" s="168"/>
      <c r="K53" s="169" t="str">
        <f t="shared" si="6"/>
        <v/>
      </c>
      <c r="L53" s="158"/>
      <c r="M53" s="142"/>
      <c r="N53" s="143" t="s">
        <v>179</v>
      </c>
      <c r="O53" s="170" t="str">
        <f t="shared" si="7"/>
        <v/>
      </c>
      <c r="P53" s="143"/>
      <c r="Q53" s="143"/>
      <c r="R53" s="143"/>
      <c r="S53" s="143"/>
      <c r="T53" s="143"/>
    </row>
    <row r="54" spans="1:20" x14ac:dyDescent="0.2">
      <c r="A54" s="142"/>
      <c r="B54" s="145"/>
      <c r="C54" s="175"/>
      <c r="D54" s="142" t="s">
        <v>179</v>
      </c>
      <c r="E54" s="158"/>
      <c r="F54" s="157" t="s">
        <v>179</v>
      </c>
      <c r="G54" s="150" t="str">
        <f t="shared" si="4"/>
        <v/>
      </c>
      <c r="H54" s="150" t="str">
        <f t="shared" si="5"/>
        <v/>
      </c>
      <c r="I54" s="167" t="str">
        <f>IF(E54="","",'RA表（オンバラ）'!C26)</f>
        <v/>
      </c>
      <c r="J54" s="168"/>
      <c r="K54" s="169" t="str">
        <f t="shared" si="6"/>
        <v/>
      </c>
      <c r="L54" s="158"/>
      <c r="M54" s="142"/>
      <c r="N54" s="143" t="s">
        <v>179</v>
      </c>
      <c r="O54" s="170" t="str">
        <f t="shared" si="7"/>
        <v/>
      </c>
      <c r="P54" s="143"/>
      <c r="Q54" s="143"/>
      <c r="R54" s="143"/>
      <c r="S54" s="143"/>
      <c r="T54" s="143"/>
    </row>
    <row r="55" spans="1:20" x14ac:dyDescent="0.2">
      <c r="A55" s="142"/>
      <c r="B55" s="145"/>
      <c r="C55" s="175"/>
      <c r="D55" s="142" t="s">
        <v>179</v>
      </c>
      <c r="E55" s="158"/>
      <c r="F55" s="157" t="s">
        <v>179</v>
      </c>
      <c r="G55" s="150" t="str">
        <f t="shared" si="4"/>
        <v/>
      </c>
      <c r="H55" s="150" t="str">
        <f t="shared" si="5"/>
        <v/>
      </c>
      <c r="I55" s="167" t="str">
        <f>IF(E55="","",'RA表（オンバラ）'!C27)</f>
        <v/>
      </c>
      <c r="J55" s="168"/>
      <c r="K55" s="169" t="str">
        <f t="shared" si="6"/>
        <v/>
      </c>
      <c r="L55" s="158"/>
      <c r="M55" s="142"/>
      <c r="N55" s="143" t="s">
        <v>179</v>
      </c>
      <c r="O55" s="170" t="str">
        <f t="shared" si="7"/>
        <v/>
      </c>
      <c r="P55" s="143"/>
      <c r="Q55" s="143"/>
      <c r="R55" s="143"/>
      <c r="S55" s="143"/>
      <c r="T55" s="143"/>
    </row>
    <row r="56" spans="1:20" x14ac:dyDescent="0.2">
      <c r="A56" s="142"/>
      <c r="B56" s="145"/>
      <c r="C56" s="175"/>
      <c r="D56" s="142" t="s">
        <v>179</v>
      </c>
      <c r="E56" s="158"/>
      <c r="F56" s="157" t="s">
        <v>179</v>
      </c>
      <c r="G56" s="150" t="str">
        <f t="shared" si="4"/>
        <v/>
      </c>
      <c r="H56" s="150" t="str">
        <f t="shared" si="5"/>
        <v/>
      </c>
      <c r="I56" s="167" t="str">
        <f>IF(E56="","",'RA表（オンバラ）'!C28)</f>
        <v/>
      </c>
      <c r="J56" s="168"/>
      <c r="K56" s="169" t="str">
        <f t="shared" si="6"/>
        <v/>
      </c>
      <c r="L56" s="158"/>
      <c r="M56" s="142"/>
      <c r="N56" s="143" t="s">
        <v>179</v>
      </c>
      <c r="O56" s="170" t="str">
        <f t="shared" si="7"/>
        <v/>
      </c>
      <c r="P56" s="143"/>
      <c r="Q56" s="143"/>
      <c r="R56" s="143"/>
      <c r="S56" s="143"/>
      <c r="T56" s="143"/>
    </row>
    <row r="57" spans="1:20" x14ac:dyDescent="0.2">
      <c r="A57" s="142"/>
      <c r="B57" s="145"/>
      <c r="C57" s="175"/>
      <c r="D57" s="142" t="s">
        <v>179</v>
      </c>
      <c r="E57" s="158"/>
      <c r="F57" s="157" t="s">
        <v>179</v>
      </c>
      <c r="G57" s="150" t="str">
        <f t="shared" si="4"/>
        <v/>
      </c>
      <c r="H57" s="150" t="str">
        <f t="shared" si="5"/>
        <v/>
      </c>
      <c r="I57" s="167" t="str">
        <f>IF(E57="","",'RA表（オンバラ）'!C29)</f>
        <v/>
      </c>
      <c r="J57" s="168"/>
      <c r="K57" s="169" t="str">
        <f t="shared" si="6"/>
        <v/>
      </c>
      <c r="L57" s="158"/>
      <c r="M57" s="142"/>
      <c r="N57" s="143" t="s">
        <v>179</v>
      </c>
      <c r="O57" s="170" t="str">
        <f t="shared" si="7"/>
        <v/>
      </c>
      <c r="P57" s="143"/>
      <c r="Q57" s="143"/>
      <c r="R57" s="143"/>
      <c r="S57" s="143"/>
      <c r="T57" s="143"/>
    </row>
    <row r="58" spans="1:20" x14ac:dyDescent="0.2">
      <c r="A58" s="142"/>
      <c r="B58" s="145"/>
      <c r="C58" s="175"/>
      <c r="D58" s="142" t="s">
        <v>179</v>
      </c>
      <c r="E58" s="158"/>
      <c r="F58" s="157" t="s">
        <v>179</v>
      </c>
      <c r="G58" s="150" t="str">
        <f t="shared" si="4"/>
        <v/>
      </c>
      <c r="H58" s="150" t="str">
        <f t="shared" si="5"/>
        <v/>
      </c>
      <c r="I58" s="167" t="str">
        <f>IF(E58="","",'RA表（オンバラ）'!C30)</f>
        <v/>
      </c>
      <c r="J58" s="168"/>
      <c r="K58" s="169" t="str">
        <f t="shared" si="6"/>
        <v/>
      </c>
      <c r="L58" s="158"/>
      <c r="M58" s="142"/>
      <c r="N58" s="143" t="s">
        <v>179</v>
      </c>
      <c r="O58" s="170" t="str">
        <f t="shared" si="7"/>
        <v/>
      </c>
      <c r="P58" s="143"/>
      <c r="Q58" s="143"/>
    </row>
    <row r="59" spans="1:20" x14ac:dyDescent="0.2">
      <c r="A59" s="142"/>
      <c r="B59" s="145"/>
      <c r="C59" s="175"/>
      <c r="D59" s="142" t="s">
        <v>179</v>
      </c>
      <c r="E59" s="158"/>
      <c r="F59" s="157" t="s">
        <v>179</v>
      </c>
      <c r="G59" s="150" t="str">
        <f t="shared" si="4"/>
        <v/>
      </c>
      <c r="H59" s="150" t="str">
        <f t="shared" si="5"/>
        <v/>
      </c>
      <c r="I59" s="167" t="str">
        <f>IF(E59="","",'RA表（オンバラ）'!C31)</f>
        <v/>
      </c>
      <c r="J59" s="168"/>
      <c r="K59" s="169" t="str">
        <f t="shared" si="6"/>
        <v/>
      </c>
      <c r="L59" s="158"/>
      <c r="M59" s="142"/>
      <c r="N59" s="143" t="s">
        <v>179</v>
      </c>
      <c r="O59" s="170" t="str">
        <f t="shared" si="7"/>
        <v/>
      </c>
      <c r="P59" s="143"/>
      <c r="Q59" s="143"/>
    </row>
    <row r="60" spans="1:20" x14ac:dyDescent="0.2">
      <c r="A60" s="142"/>
      <c r="B60" s="153" t="s">
        <v>177</v>
      </c>
      <c r="C60" s="154"/>
      <c r="D60" s="153"/>
      <c r="E60" s="155"/>
      <c r="F60" s="156"/>
      <c r="G60" s="153"/>
      <c r="H60" s="153"/>
      <c r="I60" s="153" t="str">
        <f>IF(E60="","",'RA表（オンバラ）'!C32)</f>
        <v/>
      </c>
      <c r="J60" s="153"/>
      <c r="K60" s="153" t="str">
        <f t="shared" si="6"/>
        <v/>
      </c>
      <c r="L60" s="153"/>
      <c r="N60" s="153" t="s">
        <v>179</v>
      </c>
      <c r="O60" s="153" t="str">
        <f t="shared" si="7"/>
        <v/>
      </c>
      <c r="P60" s="143"/>
      <c r="Q60" s="143"/>
    </row>
    <row r="61" spans="1:20" s="164" customFormat="1" x14ac:dyDescent="0.2">
      <c r="E61" s="176">
        <f>SUM(E49:E60)</f>
        <v>0</v>
      </c>
      <c r="F61" s="177" t="str">
        <f>IFERROR(G61/H61,"")</f>
        <v/>
      </c>
      <c r="G61" s="176">
        <f>SUM(G49:G60)</f>
        <v>0</v>
      </c>
      <c r="H61" s="176">
        <f>SUM(H49:H60)</f>
        <v>0</v>
      </c>
    </row>
    <row r="62" spans="1:20" s="164" customFormat="1" x14ac:dyDescent="0.2">
      <c r="E62" s="176"/>
      <c r="F62" s="177"/>
      <c r="G62" s="176"/>
      <c r="H62" s="176"/>
    </row>
    <row r="63" spans="1:20" s="164" customFormat="1" x14ac:dyDescent="0.2">
      <c r="A63" s="164" t="s">
        <v>178</v>
      </c>
      <c r="E63" s="178"/>
      <c r="F63" s="176"/>
      <c r="H63" s="34" t="s">
        <v>7</v>
      </c>
    </row>
    <row r="64" spans="1:20" x14ac:dyDescent="0.2">
      <c r="A64" s="142"/>
      <c r="B64" s="148" t="s">
        <v>158</v>
      </c>
      <c r="C64" s="148" t="s">
        <v>134</v>
      </c>
      <c r="D64" s="148" t="s">
        <v>159</v>
      </c>
      <c r="E64" s="148" t="s">
        <v>95</v>
      </c>
      <c r="F64" s="148" t="s">
        <v>160</v>
      </c>
      <c r="G64" s="148" t="s">
        <v>161</v>
      </c>
      <c r="H64" s="148" t="s">
        <v>162</v>
      </c>
      <c r="N64" s="148" t="s">
        <v>166</v>
      </c>
    </row>
    <row r="65" spans="1:14" x14ac:dyDescent="0.2">
      <c r="A65" s="142"/>
      <c r="B65" s="145"/>
      <c r="C65" s="175"/>
      <c r="D65" s="142" t="s">
        <v>179</v>
      </c>
      <c r="E65" s="158"/>
      <c r="F65" s="157" t="s">
        <v>179</v>
      </c>
      <c r="G65" s="150" t="str">
        <f>IF(F65&lt;&gt;"",E65*F65,"")</f>
        <v/>
      </c>
      <c r="H65" s="150"/>
      <c r="I65" s="164"/>
      <c r="J65" s="164"/>
      <c r="K65" s="164"/>
      <c r="L65" s="164"/>
      <c r="N65" s="143" t="s">
        <v>179</v>
      </c>
    </row>
    <row r="66" spans="1:14" x14ac:dyDescent="0.2">
      <c r="A66" s="142"/>
      <c r="B66" s="145"/>
      <c r="C66" s="175"/>
      <c r="D66" s="142" t="s">
        <v>179</v>
      </c>
      <c r="E66" s="158"/>
      <c r="F66" s="157" t="s">
        <v>179</v>
      </c>
      <c r="G66" s="150" t="str">
        <f>IF(F66&lt;&gt;"",E66*F66,"")</f>
        <v/>
      </c>
      <c r="H66" s="150"/>
      <c r="I66" s="164"/>
      <c r="J66" s="164"/>
      <c r="K66" s="164"/>
      <c r="L66" s="164"/>
      <c r="N66" s="143" t="s">
        <v>179</v>
      </c>
    </row>
    <row r="67" spans="1:14" x14ac:dyDescent="0.2">
      <c r="A67" s="142"/>
      <c r="B67" s="145"/>
      <c r="C67" s="175"/>
      <c r="D67" s="142" t="s">
        <v>179</v>
      </c>
      <c r="E67" s="158"/>
      <c r="F67" s="157" t="s">
        <v>179</v>
      </c>
      <c r="G67" s="150" t="str">
        <f>IF(F67&lt;&gt;"",E67*F67,"")</f>
        <v/>
      </c>
      <c r="H67" s="150"/>
      <c r="I67" s="164"/>
      <c r="J67" s="164"/>
      <c r="K67" s="164"/>
      <c r="L67" s="164"/>
      <c r="N67" s="143" t="s">
        <v>179</v>
      </c>
    </row>
    <row r="68" spans="1:14" x14ac:dyDescent="0.2">
      <c r="A68" s="142"/>
      <c r="B68" s="145"/>
      <c r="C68" s="175"/>
      <c r="D68" s="142" t="s">
        <v>179</v>
      </c>
      <c r="E68" s="158"/>
      <c r="F68" s="157" t="s">
        <v>179</v>
      </c>
      <c r="G68" s="150"/>
      <c r="H68" s="150"/>
      <c r="I68" s="164"/>
      <c r="J68" s="164"/>
      <c r="K68" s="164"/>
      <c r="L68" s="164"/>
      <c r="N68" s="143" t="s">
        <v>179</v>
      </c>
    </row>
    <row r="69" spans="1:14" x14ac:dyDescent="0.2">
      <c r="A69" s="142"/>
      <c r="B69" s="145"/>
      <c r="C69" s="175"/>
      <c r="D69" s="142" t="s">
        <v>179</v>
      </c>
      <c r="E69" s="158"/>
      <c r="F69" s="157" t="s">
        <v>179</v>
      </c>
      <c r="G69" s="150"/>
      <c r="H69" s="150"/>
      <c r="I69" s="164"/>
      <c r="J69" s="164"/>
      <c r="K69" s="164"/>
      <c r="L69" s="164"/>
      <c r="N69" s="143" t="s">
        <v>179</v>
      </c>
    </row>
    <row r="70" spans="1:14" x14ac:dyDescent="0.2">
      <c r="A70" s="142"/>
      <c r="B70" s="145"/>
      <c r="C70" s="175"/>
      <c r="D70" s="142" t="s">
        <v>179</v>
      </c>
      <c r="E70" s="158"/>
      <c r="F70" s="157" t="s">
        <v>179</v>
      </c>
      <c r="G70" s="150"/>
      <c r="H70" s="150"/>
      <c r="I70" s="164"/>
      <c r="J70" s="164"/>
      <c r="K70" s="164"/>
      <c r="L70" s="164"/>
      <c r="N70" s="143" t="s">
        <v>179</v>
      </c>
    </row>
    <row r="71" spans="1:14" x14ac:dyDescent="0.2">
      <c r="A71" s="142"/>
      <c r="B71" s="145"/>
      <c r="C71" s="175"/>
      <c r="D71" s="142" t="s">
        <v>179</v>
      </c>
      <c r="E71" s="158"/>
      <c r="F71" s="157" t="s">
        <v>179</v>
      </c>
      <c r="G71" s="150"/>
      <c r="H71" s="150"/>
      <c r="I71" s="164"/>
      <c r="J71" s="164"/>
      <c r="K71" s="164"/>
      <c r="L71" s="164"/>
      <c r="N71" s="143" t="s">
        <v>179</v>
      </c>
    </row>
    <row r="72" spans="1:14" x14ac:dyDescent="0.2">
      <c r="A72" s="142"/>
      <c r="B72" s="145"/>
      <c r="C72" s="175"/>
      <c r="D72" s="142" t="s">
        <v>179</v>
      </c>
      <c r="E72" s="158"/>
      <c r="F72" s="157" t="s">
        <v>179</v>
      </c>
      <c r="G72" s="150"/>
      <c r="H72" s="150"/>
      <c r="I72" s="164"/>
      <c r="J72" s="164"/>
      <c r="K72" s="164"/>
      <c r="L72" s="164"/>
      <c r="N72" s="143" t="s">
        <v>179</v>
      </c>
    </row>
    <row r="73" spans="1:14" x14ac:dyDescent="0.2">
      <c r="A73" s="142"/>
      <c r="B73" s="145"/>
      <c r="C73" s="175"/>
      <c r="D73" s="142" t="s">
        <v>179</v>
      </c>
      <c r="E73" s="158"/>
      <c r="F73" s="157" t="s">
        <v>179</v>
      </c>
      <c r="G73" s="150"/>
      <c r="H73" s="150"/>
      <c r="I73" s="164"/>
      <c r="J73" s="164"/>
      <c r="K73" s="164"/>
      <c r="L73" s="164"/>
      <c r="N73" s="143" t="s">
        <v>179</v>
      </c>
    </row>
    <row r="74" spans="1:14" x14ac:dyDescent="0.2">
      <c r="A74" s="142"/>
      <c r="B74" s="145"/>
      <c r="C74" s="175"/>
      <c r="D74" s="142" t="s">
        <v>179</v>
      </c>
      <c r="E74" s="158"/>
      <c r="F74" s="157" t="s">
        <v>179</v>
      </c>
      <c r="G74" s="150"/>
      <c r="H74" s="150"/>
      <c r="I74" s="164"/>
      <c r="J74" s="164"/>
      <c r="K74" s="164"/>
      <c r="L74" s="164"/>
      <c r="N74" s="143" t="s">
        <v>179</v>
      </c>
    </row>
    <row r="75" spans="1:14" x14ac:dyDescent="0.2">
      <c r="A75" s="142"/>
      <c r="B75" s="145"/>
      <c r="C75" s="175"/>
      <c r="D75" s="142" t="s">
        <v>179</v>
      </c>
      <c r="E75" s="158"/>
      <c r="F75" s="157" t="s">
        <v>179</v>
      </c>
      <c r="G75" s="150"/>
      <c r="H75" s="150"/>
      <c r="I75" s="164"/>
      <c r="J75" s="164"/>
      <c r="K75" s="164"/>
      <c r="L75" s="164"/>
      <c r="N75" s="143" t="s">
        <v>179</v>
      </c>
    </row>
    <row r="76" spans="1:14" x14ac:dyDescent="0.2">
      <c r="A76" s="142"/>
      <c r="B76" s="153" t="s">
        <v>177</v>
      </c>
      <c r="C76" s="154"/>
      <c r="D76" s="153" t="s">
        <v>179</v>
      </c>
      <c r="E76" s="155"/>
      <c r="F76" s="156" t="s">
        <v>179</v>
      </c>
      <c r="G76" s="153"/>
      <c r="H76" s="153"/>
      <c r="I76" s="179"/>
      <c r="N76" s="153" t="s">
        <v>179</v>
      </c>
    </row>
    <row r="77" spans="1:14" s="164" customFormat="1" x14ac:dyDescent="0.2"/>
    <row r="78" spans="1:14" s="164" customFormat="1" x14ac:dyDescent="0.2"/>
    <row r="79" spans="1:14" s="164" customFormat="1" x14ac:dyDescent="0.2"/>
    <row r="80" spans="1:14"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sheetData>
  <phoneticPr fontId="5"/>
  <pageMargins left="0.70866141732283472" right="0.70866141732283472" top="0.74803149606299213" bottom="0.74803149606299213" header="0.31496062992125984" footer="0.31496062992125984"/>
  <pageSetup paperSize="8" scale="54" orientation="portrait" r:id="rId1"/>
  <headerFooter>
    <oddHeader xml:space="preserve">&amp;C
&amp;G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拓海</dc:creator>
  <cp:lastModifiedBy>横川 拓海</cp:lastModifiedBy>
  <dcterms:created xsi:type="dcterms:W3CDTF">2026-04-28T09:29:07Z</dcterms:created>
  <dcterms:modified xsi:type="dcterms:W3CDTF">2026-04-28T09:43:03Z</dcterms:modified>
</cp:coreProperties>
</file>